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95" yWindow="105" windowWidth="26325" windowHeight="12390" tabRatio="787" firstSheet="78" activeTab="79"/>
  </bookViews>
  <sheets>
    <sheet name="Alabama Life" sheetId="81" r:id="rId1"/>
    <sheet name="American Chambers" sheetId="80" r:id="rId2"/>
    <sheet name="American Community" sheetId="79" r:id="rId3"/>
    <sheet name="American Educators" sheetId="78" r:id="rId4"/>
    <sheet name="American Integrity" sheetId="77" r:id="rId5"/>
    <sheet name="Amer Life Asr" sheetId="76" r:id="rId6"/>
    <sheet name="American Network" sheetId="75" r:id="rId7"/>
    <sheet name="Amer Std Life Acc" sheetId="74" r:id="rId8"/>
    <sheet name="AmerWstrn" sheetId="73" r:id="rId9"/>
    <sheet name="AMS Life" sheetId="72" r:id="rId10"/>
    <sheet name="Andrew Jackson" sheetId="71" r:id="rId11"/>
    <sheet name="Bankers Commercial" sheetId="70" r:id="rId12"/>
    <sheet name="Benicorp" sheetId="69" r:id="rId13"/>
    <sheet name="Booker T Washington" sheetId="68" r:id="rId14"/>
    <sheet name="Centennial" sheetId="67" r:id="rId15"/>
    <sheet name="Coastal States" sheetId="66" r:id="rId16"/>
    <sheet name="Confed Life &amp; Annty (CLIAC)" sheetId="65" r:id="rId17"/>
    <sheet name="Confed Life (CLIC)" sheetId="64" r:id="rId18"/>
    <sheet name="Consolidated National" sheetId="63" r:id="rId19"/>
    <sheet name="Consumers United" sheetId="62" r:id="rId20"/>
    <sheet name="Corporate Life" sheetId="61" r:id="rId21"/>
    <sheet name="Diamond Benefits" sheetId="60" r:id="rId22"/>
    <sheet name="EBL Life" sheetId="59" r:id="rId23"/>
    <sheet name="Executive Life" sheetId="58" r:id="rId24"/>
    <sheet name="ELNY" sheetId="57" r:id="rId25"/>
    <sheet name="Family Guaranty" sheetId="56" r:id="rId26"/>
    <sheet name="Farmers &amp; Ranchers" sheetId="55" r:id="rId27"/>
    <sheet name="Fidelity Bankers" sheetId="54" r:id="rId28"/>
    <sheet name="Fidelity Mutual" sheetId="53" r:id="rId29"/>
    <sheet name="First Capital" sheetId="52" r:id="rId30"/>
    <sheet name="First Natl" sheetId="51" r:id="rId31"/>
    <sheet name="First Natl (Thrnr)" sheetId="50" r:id="rId32"/>
    <sheet name="Franklin American" sheetId="49" r:id="rId33"/>
    <sheet name="Franklin Protective" sheetId="48" r:id="rId34"/>
    <sheet name="George Washington" sheetId="47" r:id="rId35"/>
    <sheet name="Golden State" sheetId="46" r:id="rId36"/>
    <sheet name="Guarantee Security" sheetId="45" r:id="rId37"/>
    <sheet name="Imerica" sheetId="44" r:id="rId38"/>
    <sheet name="Inter-American" sheetId="43" r:id="rId39"/>
    <sheet name="International Fin" sheetId="42" r:id="rId40"/>
    <sheet name="Investment Life of America" sheetId="41" r:id="rId41"/>
    <sheet name="Investors Equity" sheetId="40" r:id="rId42"/>
    <sheet name="Kentucky Central" sheetId="39" r:id="rId43"/>
    <sheet name="Legion" sheetId="38" r:id="rId44"/>
    <sheet name="Life Health America" sheetId="37" r:id="rId45"/>
    <sheet name="Lincoln Memorial" sheetId="36" r:id="rId46"/>
    <sheet name="London Pac" sheetId="35" r:id="rId47"/>
    <sheet name="Lumbermens" sheetId="34" r:id="rId48"/>
    <sheet name="Medical Savings" sheetId="33" r:id="rId49"/>
    <sheet name="Memorial Service" sheetId="32" r:id="rId50"/>
    <sheet name="Midcontinent" sheetId="31" r:id="rId51"/>
    <sheet name="Midwest Life" sheetId="30" r:id="rId52"/>
    <sheet name="Monarch Life" sheetId="29" r:id="rId53"/>
    <sheet name="Mutual Benefit" sheetId="28" r:id="rId54"/>
    <sheet name="Mutual Security" sheetId="27" r:id="rId55"/>
    <sheet name="National Affiliated" sheetId="26" r:id="rId56"/>
    <sheet name="Natl American" sheetId="25" r:id="rId57"/>
    <sheet name="National Heritage" sheetId="24" r:id="rId58"/>
    <sheet name="National States" sheetId="23" r:id="rId59"/>
    <sheet name="New Jersey Life" sheetId="22" r:id="rId60"/>
    <sheet name="Old Colony Life" sheetId="21" r:id="rId61"/>
    <sheet name="Old Faithful" sheetId="20" r:id="rId62"/>
    <sheet name="Pacific Standard" sheetId="19" r:id="rId63"/>
    <sheet name="Pen  Treaty" sheetId="18" r:id="rId64"/>
    <sheet name="Reliance" sheetId="17" r:id="rId65"/>
    <sheet name="Settlers" sheetId="16" r:id="rId66"/>
    <sheet name="Shenandoah" sheetId="15" r:id="rId67"/>
    <sheet name="Standard Life IN" sheetId="14" r:id="rId68"/>
    <sheet name="States General" sheetId="13" r:id="rId69"/>
    <sheet name="Statesman" sheetId="12" r:id="rId70"/>
    <sheet name="Summit National" sheetId="11" r:id="rId71"/>
    <sheet name="Supreme" sheetId="10" r:id="rId72"/>
    <sheet name="Underwriters" sheetId="82" r:id="rId73"/>
    <sheet name="Unison" sheetId="9" r:id="rId74"/>
    <sheet name="United Republic" sheetId="8" r:id="rId75"/>
    <sheet name="Universal Health Care" sheetId="7" r:id="rId76"/>
    <sheet name="Universal Life" sheetId="6" r:id="rId77"/>
    <sheet name="Universe" sheetId="5" r:id="rId78"/>
    <sheet name="Villanova" sheetId="4" r:id="rId79"/>
    <sheet name="Summary" sheetId="83" r:id="rId80"/>
    <sheet name="Pre-Liquidation Summary" sheetId="84" r:id="rId81"/>
    <sheet name="Open Summary" sheetId="85" r:id="rId82"/>
    <sheet name="Closed Summary" sheetId="86" r:id="rId83"/>
    <sheet name="Estate Closed Summary" sheetId="87" r:id="rId84"/>
    <sheet name="Released from Oversight Summary" sheetId="88" r:id="rId85"/>
    <sheet name="Total Summary" sheetId="89" r:id="rId86"/>
    <sheet name="ELIC Antic Funding" sheetId="1" r:id="rId87"/>
    <sheet name="Recon ELIC Antic Funding to Sum" sheetId="91" r:id="rId88"/>
    <sheet name="Premium" sheetId="2" r:id="rId89"/>
  </sheets>
  <definedNames>
    <definedName name="_xlnm.Print_Area" localSheetId="0">'Alabama Life'!$A$3:$U$65</definedName>
    <definedName name="_xlnm.Print_Area" localSheetId="5">'Amer Life Asr'!$A$3:$U$65</definedName>
    <definedName name="_xlnm.Print_Area" localSheetId="7">'Amer Std Life Acc'!$A$3:$U$65</definedName>
    <definedName name="_xlnm.Print_Area" localSheetId="1">'American Chambers'!$A$3:$U$65</definedName>
    <definedName name="_xlnm.Print_Area" localSheetId="2">'American Community'!$A$3:$U$65</definedName>
    <definedName name="_xlnm.Print_Area" localSheetId="3">'American Educators'!$A$3:$U$65</definedName>
    <definedName name="_xlnm.Print_Area" localSheetId="4">'American Integrity'!$A$3:$U$65</definedName>
    <definedName name="_xlnm.Print_Area" localSheetId="6">'American Network'!$A$3:$U$65</definedName>
    <definedName name="_xlnm.Print_Area" localSheetId="8">AmerWstrn!$A$3:$U$65</definedName>
    <definedName name="_xlnm.Print_Area" localSheetId="9">'AMS Life'!$A$3:$U$65</definedName>
    <definedName name="_xlnm.Print_Area" localSheetId="10">'Andrew Jackson'!$A$3:$U$65</definedName>
    <definedName name="_xlnm.Print_Area" localSheetId="11">'Bankers Commercial'!$A$3:$U$65</definedName>
    <definedName name="_xlnm.Print_Area" localSheetId="12">Benicorp!$A$3:$U$65</definedName>
    <definedName name="_xlnm.Print_Area" localSheetId="13">'Booker T Washington'!$A$3:$U$65</definedName>
    <definedName name="_xlnm.Print_Area" localSheetId="14">Centennial!$A$3:$U$65</definedName>
    <definedName name="_xlnm.Print_Area" localSheetId="82">'Closed Summary'!$A$3:$I$65</definedName>
    <definedName name="_xlnm.Print_Area" localSheetId="15">'Coastal States'!$A$3:$U$65</definedName>
    <definedName name="_xlnm.Print_Area" localSheetId="16">'Confed Life &amp; Annty (CLIAC)'!$A$3:$U$65</definedName>
    <definedName name="_xlnm.Print_Area" localSheetId="17">'Confed Life (CLIC)'!$A$3:$U$65</definedName>
    <definedName name="_xlnm.Print_Area" localSheetId="18">'Consolidated National'!$A$3:$U$65</definedName>
    <definedName name="_xlnm.Print_Area" localSheetId="19">'Consumers United'!$A$3:$U$65</definedName>
    <definedName name="_xlnm.Print_Area" localSheetId="20">'Corporate Life'!$A$3:$U$65</definedName>
    <definedName name="_xlnm.Print_Area" localSheetId="21">'Diamond Benefits'!$A$3:$U$65</definedName>
    <definedName name="_xlnm.Print_Area" localSheetId="22">'EBL Life'!$A$3:$U$65</definedName>
    <definedName name="_xlnm.Print_Area" localSheetId="86">'ELIC Antic Funding'!$B$4:$CV$62</definedName>
    <definedName name="_xlnm.Print_Area" localSheetId="24">ELNY!$A$3:$U$65</definedName>
    <definedName name="_xlnm.Print_Area" localSheetId="83">'Estate Closed Summary'!$A$3:$I$65</definedName>
    <definedName name="_xlnm.Print_Area" localSheetId="23">'Executive Life'!$A$3:$U$65</definedName>
    <definedName name="_xlnm.Print_Area" localSheetId="25">'Family Guaranty'!$A$3:$U$65</definedName>
    <definedName name="_xlnm.Print_Area" localSheetId="26">'Farmers &amp; Ranchers'!$A$3:$U$65</definedName>
    <definedName name="_xlnm.Print_Area" localSheetId="27">'Fidelity Bankers'!$A$3:$U$65</definedName>
    <definedName name="_xlnm.Print_Area" localSheetId="28">'Fidelity Mutual'!$A$3:$U$65</definedName>
    <definedName name="_xlnm.Print_Area" localSheetId="29">'First Capital'!$A$3:$U$65</definedName>
    <definedName name="_xlnm.Print_Area" localSheetId="30">'First Natl'!$A$3:$U$65</definedName>
    <definedName name="_xlnm.Print_Area" localSheetId="31">'First Natl (Thrnr)'!$A$3:$U$65</definedName>
    <definedName name="_xlnm.Print_Area" localSheetId="32">'Franklin American'!$A$3:$U$65</definedName>
    <definedName name="_xlnm.Print_Area" localSheetId="33">'Franklin Protective'!$A$3:$U$65</definedName>
    <definedName name="_xlnm.Print_Area" localSheetId="34">'George Washington'!$A$3:$U$65</definedName>
    <definedName name="_xlnm.Print_Area" localSheetId="35">'Golden State'!$A$3:$U$65</definedName>
    <definedName name="_xlnm.Print_Area" localSheetId="36">'Guarantee Security'!$A$3:$U$65</definedName>
    <definedName name="_xlnm.Print_Area" localSheetId="37">Imerica!$A$3:$U$65</definedName>
    <definedName name="_xlnm.Print_Area" localSheetId="38">'Inter-American'!$A$3:$U$65</definedName>
    <definedName name="_xlnm.Print_Area" localSheetId="39">'International Fin'!$A$3:$U$65</definedName>
    <definedName name="_xlnm.Print_Area" localSheetId="40">'Investment Life of America'!$A$3:$U$65</definedName>
    <definedName name="_xlnm.Print_Area" localSheetId="41">'Investors Equity'!$A$3:$U$65</definedName>
    <definedName name="_xlnm.Print_Area" localSheetId="42">'Kentucky Central'!$A$3:$U$65</definedName>
    <definedName name="_xlnm.Print_Area" localSheetId="43">Legion!$A$3:$U$65</definedName>
    <definedName name="_xlnm.Print_Area" localSheetId="44">'Life Health America'!$A$3:$U$65</definedName>
    <definedName name="_xlnm.Print_Area" localSheetId="45">'Lincoln Memorial'!$A$3:$U$65</definedName>
    <definedName name="_xlnm.Print_Area" localSheetId="46">'London Pac'!$A$3:$U$65</definedName>
    <definedName name="_xlnm.Print_Area" localSheetId="47">Lumbermens!$A$3:$U$65</definedName>
    <definedName name="_xlnm.Print_Area" localSheetId="48">'Medical Savings'!$A$3:$U$65</definedName>
    <definedName name="_xlnm.Print_Area" localSheetId="49">'Memorial Service'!$A$3:$U$65</definedName>
    <definedName name="_xlnm.Print_Area" localSheetId="50">Midcontinent!$A$3:$U$65</definedName>
    <definedName name="_xlnm.Print_Area" localSheetId="51">'Midwest Life'!$A$3:$U$65</definedName>
    <definedName name="_xlnm.Print_Area" localSheetId="52">'Monarch Life'!$A$3:$U$65</definedName>
    <definedName name="_xlnm.Print_Area" localSheetId="53">'Mutual Benefit'!$A$3:$U$65</definedName>
    <definedName name="_xlnm.Print_Area" localSheetId="54">'Mutual Security'!$A$3:$U$65</definedName>
    <definedName name="_xlnm.Print_Area" localSheetId="55">'National Affiliated'!$A$3:$U$65</definedName>
    <definedName name="_xlnm.Print_Area" localSheetId="57">'National Heritage'!$A$3:$U$65</definedName>
    <definedName name="_xlnm.Print_Area" localSheetId="58">'National States'!$A$3:$U$65</definedName>
    <definedName name="_xlnm.Print_Area" localSheetId="56">'Natl American'!$A$3:$U$65</definedName>
    <definedName name="_xlnm.Print_Area" localSheetId="59">'New Jersey Life'!$A$3:$U$65</definedName>
    <definedName name="_xlnm.Print_Area" localSheetId="60">'Old Colony Life'!$A$3:$U$65</definedName>
    <definedName name="_xlnm.Print_Area" localSheetId="61">'Old Faithful'!$A$3:$U$65</definedName>
    <definedName name="_xlnm.Print_Area" localSheetId="81">'Open Summary'!$A$3:$I$65</definedName>
    <definedName name="_xlnm.Print_Area" localSheetId="62">'Pacific Standard'!$A$3:$U$65</definedName>
    <definedName name="_xlnm.Print_Area" localSheetId="63">'Pen  Treaty'!$A$3:$U$65</definedName>
    <definedName name="_xlnm.Print_Area" localSheetId="80">'Pre-Liquidation Summary'!$A$3:$I$65</definedName>
    <definedName name="_xlnm.Print_Area" localSheetId="84">'Released from Oversight Summary'!$A$3:$I$65</definedName>
    <definedName name="_xlnm.Print_Area" localSheetId="64">Reliance!$A$3:$U$65</definedName>
    <definedName name="_xlnm.Print_Area" localSheetId="65">Settlers!$A$3:$U$65</definedName>
    <definedName name="_xlnm.Print_Area" localSheetId="66">Shenandoah!$A$3:$U$65</definedName>
    <definedName name="_xlnm.Print_Area" localSheetId="67">'Standard Life IN'!$A$3:$U$65</definedName>
    <definedName name="_xlnm.Print_Area" localSheetId="68">'States General'!$A$3:$U$65</definedName>
    <definedName name="_xlnm.Print_Area" localSheetId="69">Statesman!$A$3:$U$65</definedName>
    <definedName name="_xlnm.Print_Area" localSheetId="79">Summary!$B$5:$AB$112</definedName>
    <definedName name="_xlnm.Print_Area" localSheetId="70">'Summit National'!$A$3:$U$65</definedName>
    <definedName name="_xlnm.Print_Area" localSheetId="71">Supreme!$A$3:$U$65</definedName>
    <definedName name="_xlnm.Print_Area" localSheetId="85">'Total Summary'!$A$3:$U$65</definedName>
    <definedName name="_xlnm.Print_Area" localSheetId="72">Underwriters!$A$3:$U$65</definedName>
    <definedName name="_xlnm.Print_Area" localSheetId="73">Unison!$A$3:$U$65</definedName>
    <definedName name="_xlnm.Print_Area" localSheetId="74">'United Republic'!$A$3:$U$65</definedName>
    <definedName name="_xlnm.Print_Area" localSheetId="75">'Universal Health Care'!$A$3:$U$65</definedName>
    <definedName name="_xlnm.Print_Area" localSheetId="76">'Universal Life'!$A$3:$U$65</definedName>
    <definedName name="_xlnm.Print_Area" localSheetId="77">Universe!$A$3:$U$65</definedName>
    <definedName name="_xlnm.Print_Area" localSheetId="78">Villanova!$A$3:$U$65</definedName>
    <definedName name="_xlnm.Print_Titles" localSheetId="86">'ELIC Antic Funding'!$A:$A,'ELIC Antic Funding'!$1:$3</definedName>
    <definedName name="_xlnm.Print_Titles" localSheetId="88">Premium!$1:$6</definedName>
    <definedName name="_xlnm.Print_Titles" localSheetId="79">Summary!$2:$4</definedName>
  </definedNames>
  <calcPr calcId="145621"/>
</workbook>
</file>

<file path=xl/calcChain.xml><?xml version="1.0" encoding="utf-8"?>
<calcChain xmlns="http://schemas.openxmlformats.org/spreadsheetml/2006/main">
  <c r="H37" i="91" l="1"/>
  <c r="F33" i="91"/>
  <c r="E33" i="91"/>
  <c r="D33" i="91"/>
  <c r="C33" i="91"/>
  <c r="F14" i="91"/>
  <c r="E14" i="91"/>
  <c r="D14" i="91"/>
  <c r="C14" i="91"/>
  <c r="F27" i="91"/>
  <c r="D27" i="91"/>
  <c r="C27" i="91"/>
  <c r="F15" i="91" l="1"/>
  <c r="E15" i="91"/>
  <c r="D15" i="91"/>
  <c r="C15" i="91"/>
  <c r="F13" i="91"/>
  <c r="E13" i="91"/>
  <c r="D13" i="91"/>
  <c r="C13" i="91"/>
  <c r="F12" i="91"/>
  <c r="F25" i="91" s="1"/>
  <c r="F29" i="91" s="1"/>
  <c r="E12" i="91"/>
  <c r="D12" i="91"/>
  <c r="G12" i="91" s="1"/>
  <c r="C12" i="91"/>
  <c r="F11" i="91"/>
  <c r="E11" i="91"/>
  <c r="D11" i="91"/>
  <c r="G11" i="91" s="1"/>
  <c r="C11" i="91"/>
  <c r="C25" i="91" s="1"/>
  <c r="C29" i="91" s="1"/>
  <c r="F8" i="91"/>
  <c r="E8" i="91"/>
  <c r="D8" i="91"/>
  <c r="C8" i="91"/>
  <c r="E35" i="91"/>
  <c r="E37" i="91" s="1"/>
  <c r="C35" i="91"/>
  <c r="C37" i="91"/>
  <c r="G27" i="91"/>
  <c r="G23" i="91"/>
  <c r="G20" i="91"/>
  <c r="G19" i="91"/>
  <c r="G18" i="91"/>
  <c r="D35" i="91"/>
  <c r="G15" i="91"/>
  <c r="G14" i="91"/>
  <c r="G13" i="91"/>
  <c r="E25" i="91"/>
  <c r="E29" i="91" s="1"/>
  <c r="D37" i="91" l="1"/>
  <c r="D25" i="91"/>
  <c r="D29" i="91" s="1"/>
  <c r="G8" i="91"/>
  <c r="G25" i="91" s="1"/>
  <c r="G29" i="91" s="1"/>
  <c r="G33" i="91"/>
  <c r="F35" i="91"/>
  <c r="F37" i="91" s="1"/>
  <c r="G37" i="91" s="1"/>
  <c r="G35" i="91" l="1"/>
  <c r="BZ62" i="1" l="1"/>
  <c r="BA62" i="1"/>
  <c r="AB62" i="1"/>
  <c r="CV60" i="1"/>
  <c r="BW60" i="1"/>
  <c r="AX60" i="1"/>
  <c r="X60" i="1"/>
  <c r="W60" i="1"/>
  <c r="V60" i="1"/>
  <c r="U60" i="1"/>
  <c r="T60" i="1"/>
  <c r="S60" i="1"/>
  <c r="R60" i="1"/>
  <c r="Q60" i="1"/>
  <c r="P60" i="1"/>
  <c r="O60" i="1"/>
  <c r="N60" i="1"/>
  <c r="M60" i="1"/>
  <c r="L60" i="1"/>
  <c r="K60" i="1"/>
  <c r="J60" i="1"/>
  <c r="I60" i="1"/>
  <c r="H60" i="1"/>
  <c r="G60" i="1"/>
  <c r="F60" i="1"/>
  <c r="E60" i="1"/>
  <c r="D60" i="1"/>
  <c r="C60" i="1"/>
  <c r="B60" i="1"/>
  <c r="U59" i="1"/>
  <c r="T59" i="1"/>
  <c r="P59" i="1"/>
  <c r="I59" i="1"/>
  <c r="H59" i="1"/>
  <c r="V59" i="1"/>
  <c r="R59" i="1"/>
  <c r="O59" i="1"/>
  <c r="N59" i="1"/>
  <c r="K59" i="1"/>
  <c r="J59" i="1"/>
  <c r="F59" i="1"/>
  <c r="X59" i="1"/>
  <c r="S59" i="1"/>
  <c r="Q59" i="1"/>
  <c r="M59" i="1"/>
  <c r="E59" i="1"/>
  <c r="D59" i="1"/>
  <c r="C59" i="1"/>
  <c r="U58" i="1"/>
  <c r="P58" i="1"/>
  <c r="M58" i="1"/>
  <c r="I58" i="1"/>
  <c r="H58" i="1"/>
  <c r="W58" i="1"/>
  <c r="S58" i="1"/>
  <c r="O58" i="1"/>
  <c r="K58" i="1"/>
  <c r="G58" i="1"/>
  <c r="B58" i="1"/>
  <c r="T58" i="1"/>
  <c r="E58" i="1"/>
  <c r="C58" i="1"/>
  <c r="W57" i="1"/>
  <c r="O57" i="1"/>
  <c r="K57" i="1"/>
  <c r="G57" i="1"/>
  <c r="X57" i="1"/>
  <c r="T57" i="1"/>
  <c r="Q57" i="1"/>
  <c r="P57" i="1"/>
  <c r="M57" i="1"/>
  <c r="L57" i="1"/>
  <c r="H57" i="1"/>
  <c r="E57" i="1"/>
  <c r="D57" i="1"/>
  <c r="U57" i="1"/>
  <c r="S57" i="1"/>
  <c r="I57" i="1"/>
  <c r="C57" i="1"/>
  <c r="B57" i="1"/>
  <c r="X56" i="1"/>
  <c r="T56" i="1"/>
  <c r="P56" i="1"/>
  <c r="L56" i="1"/>
  <c r="H56" i="1"/>
  <c r="D56" i="1"/>
  <c r="S56" i="1"/>
  <c r="O56" i="1"/>
  <c r="N56" i="1"/>
  <c r="K56" i="1"/>
  <c r="G56" i="1"/>
  <c r="W56" i="1"/>
  <c r="C56" i="1"/>
  <c r="B56" i="1"/>
  <c r="W55" i="1"/>
  <c r="K55" i="1"/>
  <c r="B55" i="1"/>
  <c r="S55" i="1"/>
  <c r="O55" i="1"/>
  <c r="C55" i="1"/>
  <c r="CV54" i="1"/>
  <c r="BW54" i="1"/>
  <c r="AX54" i="1"/>
  <c r="X54" i="1"/>
  <c r="W54" i="1"/>
  <c r="V54" i="1"/>
  <c r="U54" i="1"/>
  <c r="T54" i="1"/>
  <c r="S54" i="1"/>
  <c r="R54" i="1"/>
  <c r="Q54" i="1"/>
  <c r="P54" i="1"/>
  <c r="O54" i="1"/>
  <c r="N54" i="1"/>
  <c r="M54" i="1"/>
  <c r="L54" i="1"/>
  <c r="K54" i="1"/>
  <c r="J54" i="1"/>
  <c r="I54" i="1"/>
  <c r="H54" i="1"/>
  <c r="G54" i="1"/>
  <c r="F54" i="1"/>
  <c r="E54" i="1"/>
  <c r="D54" i="1"/>
  <c r="C54" i="1"/>
  <c r="B54" i="1"/>
  <c r="O53" i="1"/>
  <c r="K53" i="1"/>
  <c r="G53" i="1"/>
  <c r="B53" i="1"/>
  <c r="V53" i="1"/>
  <c r="R53" i="1"/>
  <c r="N53" i="1"/>
  <c r="J53" i="1"/>
  <c r="F53" i="1"/>
  <c r="W53" i="1"/>
  <c r="S53" i="1"/>
  <c r="C53" i="1"/>
  <c r="CV52" i="1"/>
  <c r="T52" i="1"/>
  <c r="P52" i="1"/>
  <c r="H52" i="1"/>
  <c r="BW52" i="1"/>
  <c r="W52" i="1"/>
  <c r="S52" i="1"/>
  <c r="O52" i="1"/>
  <c r="K52" i="1"/>
  <c r="G52" i="1"/>
  <c r="X52" i="1"/>
  <c r="L52" i="1"/>
  <c r="C52" i="1"/>
  <c r="X51" i="1"/>
  <c r="U51" i="1"/>
  <c r="T51" i="1"/>
  <c r="P51" i="1"/>
  <c r="L51" i="1"/>
  <c r="I51" i="1"/>
  <c r="H51" i="1"/>
  <c r="E51" i="1"/>
  <c r="D51" i="1"/>
  <c r="Q51" i="1"/>
  <c r="M51" i="1"/>
  <c r="C51" i="1"/>
  <c r="X50" i="1"/>
  <c r="T50" i="1"/>
  <c r="P50" i="1"/>
  <c r="L50" i="1"/>
  <c r="H50" i="1"/>
  <c r="D50" i="1"/>
  <c r="U50" i="1"/>
  <c r="R50" i="1"/>
  <c r="Q50" i="1"/>
  <c r="N50" i="1"/>
  <c r="M50" i="1"/>
  <c r="J50" i="1"/>
  <c r="I50" i="1"/>
  <c r="F50" i="1"/>
  <c r="E50" i="1"/>
  <c r="V50" i="1"/>
  <c r="C50" i="1"/>
  <c r="O49" i="1"/>
  <c r="G49" i="1"/>
  <c r="V49" i="1"/>
  <c r="R49" i="1"/>
  <c r="Q49" i="1"/>
  <c r="N49" i="1"/>
  <c r="J49" i="1"/>
  <c r="F49" i="1"/>
  <c r="W49" i="1"/>
  <c r="S49" i="1"/>
  <c r="K49" i="1"/>
  <c r="I49" i="1"/>
  <c r="C49" i="1"/>
  <c r="T48" i="1"/>
  <c r="P48" i="1"/>
  <c r="L48" i="1"/>
  <c r="H48" i="1"/>
  <c r="D48" i="1"/>
  <c r="V48" i="1"/>
  <c r="R48" i="1"/>
  <c r="N48" i="1"/>
  <c r="K48" i="1"/>
  <c r="J48" i="1"/>
  <c r="F48" i="1"/>
  <c r="X48" i="1"/>
  <c r="C48" i="1"/>
  <c r="G47" i="1"/>
  <c r="U47" i="1"/>
  <c r="T47" i="1"/>
  <c r="P47" i="1"/>
  <c r="L47" i="1"/>
  <c r="E47" i="1"/>
  <c r="D47" i="1"/>
  <c r="Q47" i="1"/>
  <c r="I47" i="1"/>
  <c r="C47" i="1"/>
  <c r="T46" i="1"/>
  <c r="L46" i="1"/>
  <c r="BW46" i="1"/>
  <c r="U46" i="1"/>
  <c r="Q46" i="1"/>
  <c r="M46" i="1"/>
  <c r="J46" i="1"/>
  <c r="I46" i="1"/>
  <c r="F46" i="1"/>
  <c r="E46" i="1"/>
  <c r="X46" i="1"/>
  <c r="V46" i="1"/>
  <c r="P46" i="1"/>
  <c r="H46" i="1"/>
  <c r="D46" i="1"/>
  <c r="C46" i="1"/>
  <c r="G45" i="1"/>
  <c r="R45" i="1"/>
  <c r="Q45" i="1"/>
  <c r="N45" i="1"/>
  <c r="M45" i="1"/>
  <c r="J45" i="1"/>
  <c r="I45" i="1"/>
  <c r="F45" i="1"/>
  <c r="V45" i="1"/>
  <c r="U45" i="1"/>
  <c r="E45" i="1"/>
  <c r="C45" i="1"/>
  <c r="T44" i="1"/>
  <c r="P44" i="1"/>
  <c r="L44" i="1"/>
  <c r="D44" i="1"/>
  <c r="V44" i="1"/>
  <c r="S44" i="1"/>
  <c r="R44" i="1"/>
  <c r="O44" i="1"/>
  <c r="N44" i="1"/>
  <c r="J44" i="1"/>
  <c r="F44" i="1"/>
  <c r="X44" i="1"/>
  <c r="H44" i="1"/>
  <c r="C44" i="1"/>
  <c r="U43" i="1"/>
  <c r="Q43" i="1"/>
  <c r="M43" i="1"/>
  <c r="I43" i="1"/>
  <c r="E43" i="1"/>
  <c r="W43" i="1"/>
  <c r="T43" i="1"/>
  <c r="S43" i="1"/>
  <c r="P43" i="1"/>
  <c r="O43" i="1"/>
  <c r="K43" i="1"/>
  <c r="G43" i="1"/>
  <c r="D43" i="1"/>
  <c r="C43" i="1"/>
  <c r="V42" i="1"/>
  <c r="R42" i="1"/>
  <c r="N42" i="1"/>
  <c r="F42" i="1"/>
  <c r="X42" i="1"/>
  <c r="U42" i="1"/>
  <c r="T42" i="1"/>
  <c r="Q42" i="1"/>
  <c r="P42" i="1"/>
  <c r="M42" i="1"/>
  <c r="L42" i="1"/>
  <c r="I42" i="1"/>
  <c r="G42" i="1"/>
  <c r="E42" i="1"/>
  <c r="D42" i="1"/>
  <c r="B42" i="1"/>
  <c r="J42" i="1"/>
  <c r="H42" i="1"/>
  <c r="C42" i="1"/>
  <c r="O41" i="1"/>
  <c r="U41" i="1"/>
  <c r="R41" i="1"/>
  <c r="Q41" i="1"/>
  <c r="N41" i="1"/>
  <c r="I41" i="1"/>
  <c r="F41" i="1"/>
  <c r="E41" i="1"/>
  <c r="V41" i="1"/>
  <c r="S41" i="1"/>
  <c r="M41" i="1"/>
  <c r="J41" i="1"/>
  <c r="C41" i="1"/>
  <c r="CV40" i="1"/>
  <c r="BW40" i="1"/>
  <c r="AX40" i="1"/>
  <c r="X40" i="1"/>
  <c r="W40" i="1"/>
  <c r="V40" i="1"/>
  <c r="U40" i="1"/>
  <c r="T40" i="1"/>
  <c r="S40" i="1"/>
  <c r="R40" i="1"/>
  <c r="Q40" i="1"/>
  <c r="P40" i="1"/>
  <c r="O40" i="1"/>
  <c r="N40" i="1"/>
  <c r="M40" i="1"/>
  <c r="L40" i="1"/>
  <c r="K40" i="1"/>
  <c r="J40" i="1"/>
  <c r="I40" i="1"/>
  <c r="H40" i="1"/>
  <c r="G40" i="1"/>
  <c r="F40" i="1"/>
  <c r="E40" i="1"/>
  <c r="D40" i="1"/>
  <c r="C40" i="1"/>
  <c r="B40" i="1"/>
  <c r="U39" i="1"/>
  <c r="Q39" i="1"/>
  <c r="E39" i="1"/>
  <c r="M39" i="1"/>
  <c r="I39" i="1"/>
  <c r="C39" i="1"/>
  <c r="U38" i="1"/>
  <c r="Q38" i="1"/>
  <c r="E38" i="1"/>
  <c r="X38" i="1"/>
  <c r="W38" i="1"/>
  <c r="S38" i="1"/>
  <c r="P38" i="1"/>
  <c r="O38" i="1"/>
  <c r="L38" i="1"/>
  <c r="K38" i="1"/>
  <c r="H38" i="1"/>
  <c r="G38" i="1"/>
  <c r="T38" i="1"/>
  <c r="J38" i="1"/>
  <c r="I38" i="1"/>
  <c r="D38" i="1"/>
  <c r="C38" i="1"/>
  <c r="CV37" i="1"/>
  <c r="BW37" i="1"/>
  <c r="AX37" i="1"/>
  <c r="X37" i="1"/>
  <c r="W37" i="1"/>
  <c r="V37" i="1"/>
  <c r="U37" i="1"/>
  <c r="T37" i="1"/>
  <c r="S37" i="1"/>
  <c r="R37" i="1"/>
  <c r="Q37" i="1"/>
  <c r="P37" i="1"/>
  <c r="O37" i="1"/>
  <c r="N37" i="1"/>
  <c r="M37" i="1"/>
  <c r="L37" i="1"/>
  <c r="K37" i="1"/>
  <c r="J37" i="1"/>
  <c r="I37" i="1"/>
  <c r="H37" i="1"/>
  <c r="G37" i="1"/>
  <c r="F37" i="1"/>
  <c r="E37" i="1"/>
  <c r="D37" i="1"/>
  <c r="C37" i="1"/>
  <c r="B37" i="1"/>
  <c r="B36" i="1"/>
  <c r="U36" i="1"/>
  <c r="R36" i="1"/>
  <c r="Q36" i="1"/>
  <c r="M36" i="1"/>
  <c r="J36" i="1"/>
  <c r="I36" i="1"/>
  <c r="E36" i="1"/>
  <c r="X36" i="1"/>
  <c r="V36" i="1"/>
  <c r="N36" i="1"/>
  <c r="H36" i="1"/>
  <c r="F36" i="1"/>
  <c r="C36" i="1"/>
  <c r="R35" i="1"/>
  <c r="J35" i="1"/>
  <c r="I35" i="1"/>
  <c r="X35" i="1"/>
  <c r="W35" i="1"/>
  <c r="V35" i="1"/>
  <c r="T35" i="1"/>
  <c r="P35" i="1"/>
  <c r="N35" i="1"/>
  <c r="L35" i="1"/>
  <c r="H35" i="1"/>
  <c r="G35" i="1"/>
  <c r="B35" i="1"/>
  <c r="U35" i="1"/>
  <c r="S35" i="1"/>
  <c r="M35" i="1"/>
  <c r="F35" i="1"/>
  <c r="E35" i="1"/>
  <c r="C35" i="1"/>
  <c r="V34" i="1"/>
  <c r="J34" i="1"/>
  <c r="S34" i="1"/>
  <c r="K34" i="1"/>
  <c r="F34" i="1"/>
  <c r="O34" i="1"/>
  <c r="D34" i="1"/>
  <c r="C34" i="1"/>
  <c r="CV33" i="1"/>
  <c r="W33" i="1"/>
  <c r="T33" i="1"/>
  <c r="K33" i="1"/>
  <c r="G33" i="1"/>
  <c r="P33" i="1"/>
  <c r="E33" i="1"/>
  <c r="U33" i="1"/>
  <c r="L33" i="1"/>
  <c r="D33" i="1"/>
  <c r="C33" i="1"/>
  <c r="U32" i="1"/>
  <c r="E32" i="1"/>
  <c r="T32" i="1"/>
  <c r="L32" i="1"/>
  <c r="H32" i="1"/>
  <c r="D32" i="1"/>
  <c r="I32" i="1"/>
  <c r="X32" i="1"/>
  <c r="Q32" i="1"/>
  <c r="P32" i="1"/>
  <c r="C32" i="1"/>
  <c r="B32" i="1"/>
  <c r="W31" i="1"/>
  <c r="S31" i="1"/>
  <c r="O31" i="1"/>
  <c r="K31" i="1"/>
  <c r="G31" i="1"/>
  <c r="BW31" i="1"/>
  <c r="Q31" i="1"/>
  <c r="M31" i="1"/>
  <c r="I31" i="1"/>
  <c r="U31" i="1"/>
  <c r="E31" i="1"/>
  <c r="C31" i="1"/>
  <c r="CV30" i="1"/>
  <c r="BW30" i="1"/>
  <c r="AX30" i="1"/>
  <c r="X30" i="1"/>
  <c r="W30" i="1"/>
  <c r="V30" i="1"/>
  <c r="U30" i="1"/>
  <c r="T30" i="1"/>
  <c r="S30" i="1"/>
  <c r="R30" i="1"/>
  <c r="Q30" i="1"/>
  <c r="P30" i="1"/>
  <c r="O30" i="1"/>
  <c r="N30" i="1"/>
  <c r="M30" i="1"/>
  <c r="L30" i="1"/>
  <c r="K30" i="1"/>
  <c r="J30" i="1"/>
  <c r="I30" i="1"/>
  <c r="H30" i="1"/>
  <c r="G30" i="1"/>
  <c r="F30" i="1"/>
  <c r="E30" i="1"/>
  <c r="D30" i="1"/>
  <c r="C30" i="1"/>
  <c r="B30" i="1"/>
  <c r="V29" i="1"/>
  <c r="F29" i="1"/>
  <c r="BW29" i="1"/>
  <c r="X29" i="1"/>
  <c r="W29" i="1"/>
  <c r="T29" i="1"/>
  <c r="S29" i="1"/>
  <c r="P29" i="1"/>
  <c r="O29" i="1"/>
  <c r="L29" i="1"/>
  <c r="K29" i="1"/>
  <c r="H29" i="1"/>
  <c r="G29" i="1"/>
  <c r="D29" i="1"/>
  <c r="J29" i="1"/>
  <c r="C29" i="1"/>
  <c r="B29" i="1"/>
  <c r="CV28" i="1"/>
  <c r="X28" i="1"/>
  <c r="W28" i="1"/>
  <c r="T28" i="1"/>
  <c r="P28" i="1"/>
  <c r="O28" i="1"/>
  <c r="H28" i="1"/>
  <c r="G28" i="1"/>
  <c r="D28" i="1"/>
  <c r="R28" i="1"/>
  <c r="N28" i="1"/>
  <c r="K28" i="1"/>
  <c r="J28" i="1"/>
  <c r="F28" i="1"/>
  <c r="V28" i="1"/>
  <c r="L28" i="1"/>
  <c r="C28" i="1"/>
  <c r="B28" i="1"/>
  <c r="CV27" i="1"/>
  <c r="BW27" i="1"/>
  <c r="AX27" i="1"/>
  <c r="X27" i="1"/>
  <c r="W27" i="1"/>
  <c r="V27" i="1"/>
  <c r="U27" i="1"/>
  <c r="T27" i="1"/>
  <c r="S27" i="1"/>
  <c r="R27" i="1"/>
  <c r="Q27" i="1"/>
  <c r="P27" i="1"/>
  <c r="O27" i="1"/>
  <c r="N27" i="1"/>
  <c r="M27" i="1"/>
  <c r="L27" i="1"/>
  <c r="K27" i="1"/>
  <c r="J27" i="1"/>
  <c r="I27" i="1"/>
  <c r="H27" i="1"/>
  <c r="G27" i="1"/>
  <c r="F27" i="1"/>
  <c r="E27" i="1"/>
  <c r="D27" i="1"/>
  <c r="C27" i="1"/>
  <c r="B27" i="1"/>
  <c r="CV26" i="1"/>
  <c r="BW26" i="1"/>
  <c r="AX26" i="1"/>
  <c r="X26" i="1"/>
  <c r="W26" i="1"/>
  <c r="V26" i="1"/>
  <c r="U26" i="1"/>
  <c r="T26" i="1"/>
  <c r="S26" i="1"/>
  <c r="R26" i="1"/>
  <c r="Q26" i="1"/>
  <c r="P26" i="1"/>
  <c r="O26" i="1"/>
  <c r="N26" i="1"/>
  <c r="M26" i="1"/>
  <c r="L26" i="1"/>
  <c r="K26" i="1"/>
  <c r="J26" i="1"/>
  <c r="I26" i="1"/>
  <c r="H26" i="1"/>
  <c r="G26" i="1"/>
  <c r="F26" i="1"/>
  <c r="E26" i="1"/>
  <c r="D26" i="1"/>
  <c r="C26" i="1"/>
  <c r="B26" i="1"/>
  <c r="I25" i="1"/>
  <c r="Q25" i="1"/>
  <c r="M25" i="1"/>
  <c r="W25" i="1"/>
  <c r="S25" i="1"/>
  <c r="O25" i="1"/>
  <c r="K25" i="1"/>
  <c r="G25" i="1"/>
  <c r="U25" i="1"/>
  <c r="E25" i="1"/>
  <c r="C25" i="1"/>
  <c r="R24" i="1"/>
  <c r="N24" i="1"/>
  <c r="J24" i="1"/>
  <c r="B24" i="1"/>
  <c r="V24" i="1"/>
  <c r="F24" i="1"/>
  <c r="C24" i="1"/>
  <c r="R23" i="1"/>
  <c r="X23" i="1"/>
  <c r="W23" i="1"/>
  <c r="O23" i="1"/>
  <c r="K23" i="1"/>
  <c r="H23" i="1"/>
  <c r="G23" i="1"/>
  <c r="B23" i="1"/>
  <c r="V23" i="1"/>
  <c r="S23" i="1"/>
  <c r="N23" i="1"/>
  <c r="J23" i="1"/>
  <c r="F23" i="1"/>
  <c r="C23" i="1"/>
  <c r="U22" i="1"/>
  <c r="Q22" i="1"/>
  <c r="M22" i="1"/>
  <c r="I22" i="1"/>
  <c r="E22" i="1"/>
  <c r="D22" i="1"/>
  <c r="V22" i="1"/>
  <c r="T22" i="1"/>
  <c r="S22" i="1"/>
  <c r="R22" i="1"/>
  <c r="N22" i="1"/>
  <c r="J22" i="1"/>
  <c r="G22" i="1"/>
  <c r="F22" i="1"/>
  <c r="W22" i="1"/>
  <c r="O22" i="1"/>
  <c r="K22" i="1"/>
  <c r="C22" i="1"/>
  <c r="CV21" i="1"/>
  <c r="P21" i="1"/>
  <c r="H21" i="1"/>
  <c r="D21" i="1"/>
  <c r="U21" i="1"/>
  <c r="Q21" i="1"/>
  <c r="N21" i="1"/>
  <c r="M21" i="1"/>
  <c r="E21" i="1"/>
  <c r="X21" i="1"/>
  <c r="T21" i="1"/>
  <c r="J21" i="1"/>
  <c r="I21" i="1"/>
  <c r="C21" i="1"/>
  <c r="B21" i="1"/>
  <c r="W20" i="1"/>
  <c r="O20" i="1"/>
  <c r="K20" i="1"/>
  <c r="U20" i="1"/>
  <c r="S20" i="1"/>
  <c r="R20" i="1"/>
  <c r="N20" i="1"/>
  <c r="G20" i="1"/>
  <c r="F20" i="1"/>
  <c r="B20" i="1"/>
  <c r="V20" i="1"/>
  <c r="J20" i="1"/>
  <c r="C20" i="1"/>
  <c r="X19" i="1"/>
  <c r="P19" i="1"/>
  <c r="H19" i="1"/>
  <c r="D19" i="1"/>
  <c r="V19" i="1"/>
  <c r="T19" i="1"/>
  <c r="S19" i="1"/>
  <c r="R19" i="1"/>
  <c r="N19" i="1"/>
  <c r="K19" i="1"/>
  <c r="J19" i="1"/>
  <c r="G19" i="1"/>
  <c r="F19" i="1"/>
  <c r="B19" i="1"/>
  <c r="W19" i="1"/>
  <c r="O19" i="1"/>
  <c r="L19" i="1"/>
  <c r="C19" i="1"/>
  <c r="U18" i="1"/>
  <c r="Q18" i="1"/>
  <c r="X18" i="1"/>
  <c r="W18" i="1"/>
  <c r="T18" i="1"/>
  <c r="S18" i="1"/>
  <c r="O18" i="1"/>
  <c r="M18" i="1"/>
  <c r="L18" i="1"/>
  <c r="K18" i="1"/>
  <c r="H18" i="1"/>
  <c r="G18" i="1"/>
  <c r="D18" i="1"/>
  <c r="P18" i="1"/>
  <c r="E18" i="1"/>
  <c r="C18" i="1"/>
  <c r="CV17" i="1"/>
  <c r="V17" i="1"/>
  <c r="U17" i="1"/>
  <c r="R17" i="1"/>
  <c r="N17" i="1"/>
  <c r="M17" i="1"/>
  <c r="X17" i="1"/>
  <c r="T17" i="1"/>
  <c r="P17" i="1"/>
  <c r="I17" i="1"/>
  <c r="H17" i="1"/>
  <c r="D17" i="1"/>
  <c r="AX17" i="1"/>
  <c r="Q17" i="1"/>
  <c r="L17" i="1"/>
  <c r="J17" i="1"/>
  <c r="F17" i="1"/>
  <c r="E17" i="1"/>
  <c r="C17" i="1"/>
  <c r="CV16" i="1"/>
  <c r="BW16" i="1"/>
  <c r="AX16" i="1"/>
  <c r="X16" i="1"/>
  <c r="W16" i="1"/>
  <c r="V16" i="1"/>
  <c r="U16" i="1"/>
  <c r="T16" i="1"/>
  <c r="S16" i="1"/>
  <c r="R16" i="1"/>
  <c r="Q16" i="1"/>
  <c r="P16" i="1"/>
  <c r="O16" i="1"/>
  <c r="N16" i="1"/>
  <c r="M16" i="1"/>
  <c r="L16" i="1"/>
  <c r="K16" i="1"/>
  <c r="J16" i="1"/>
  <c r="I16" i="1"/>
  <c r="H16" i="1"/>
  <c r="G16" i="1"/>
  <c r="F16" i="1"/>
  <c r="E16" i="1"/>
  <c r="D16" i="1"/>
  <c r="C16" i="1"/>
  <c r="B16" i="1"/>
  <c r="V15" i="1"/>
  <c r="N15" i="1"/>
  <c r="J15" i="1"/>
  <c r="F15" i="1"/>
  <c r="X15" i="1"/>
  <c r="W15" i="1"/>
  <c r="T15" i="1"/>
  <c r="S15" i="1"/>
  <c r="O15" i="1"/>
  <c r="L15" i="1"/>
  <c r="K15" i="1"/>
  <c r="G15" i="1"/>
  <c r="B15" i="1"/>
  <c r="R15" i="1"/>
  <c r="P15" i="1"/>
  <c r="H15" i="1"/>
  <c r="D15" i="1"/>
  <c r="C15" i="1"/>
  <c r="CV14" i="1"/>
  <c r="BW14" i="1"/>
  <c r="AX14" i="1"/>
  <c r="X14" i="1"/>
  <c r="W14" i="1"/>
  <c r="V14" i="1"/>
  <c r="U14" i="1"/>
  <c r="T14" i="1"/>
  <c r="S14" i="1"/>
  <c r="R14" i="1"/>
  <c r="Q14" i="1"/>
  <c r="P14" i="1"/>
  <c r="O14" i="1"/>
  <c r="N14" i="1"/>
  <c r="M14" i="1"/>
  <c r="L14" i="1"/>
  <c r="K14" i="1"/>
  <c r="J14" i="1"/>
  <c r="I14" i="1"/>
  <c r="H14" i="1"/>
  <c r="G14" i="1"/>
  <c r="F14" i="1"/>
  <c r="E14" i="1"/>
  <c r="D14" i="1"/>
  <c r="C14" i="1"/>
  <c r="B14" i="1"/>
  <c r="CV13" i="1"/>
  <c r="BW13" i="1"/>
  <c r="AX13" i="1"/>
  <c r="X13" i="1"/>
  <c r="W13" i="1"/>
  <c r="V13" i="1"/>
  <c r="U13" i="1"/>
  <c r="T13" i="1"/>
  <c r="S13" i="1"/>
  <c r="R13" i="1"/>
  <c r="Q13" i="1"/>
  <c r="P13" i="1"/>
  <c r="O13" i="1"/>
  <c r="N13" i="1"/>
  <c r="M13" i="1"/>
  <c r="L13" i="1"/>
  <c r="K13" i="1"/>
  <c r="J13" i="1"/>
  <c r="I13" i="1"/>
  <c r="H13" i="1"/>
  <c r="G13" i="1"/>
  <c r="F13" i="1"/>
  <c r="E13" i="1"/>
  <c r="D13" i="1"/>
  <c r="C13" i="1"/>
  <c r="B13" i="1"/>
  <c r="I12" i="1"/>
  <c r="Q12" i="1"/>
  <c r="M12" i="1"/>
  <c r="W12" i="1"/>
  <c r="S12" i="1"/>
  <c r="O12" i="1"/>
  <c r="K12" i="1"/>
  <c r="G12" i="1"/>
  <c r="U12" i="1"/>
  <c r="E12" i="1"/>
  <c r="C12" i="1"/>
  <c r="CV11" i="1"/>
  <c r="V11" i="1"/>
  <c r="U11" i="1"/>
  <c r="N11" i="1"/>
  <c r="M11" i="1"/>
  <c r="F11" i="1"/>
  <c r="E11" i="1"/>
  <c r="R11" i="1"/>
  <c r="Q11" i="1"/>
  <c r="J11" i="1"/>
  <c r="I11" i="1"/>
  <c r="C11" i="1"/>
  <c r="S10" i="1"/>
  <c r="U10" i="1"/>
  <c r="Q10" i="1"/>
  <c r="M10" i="1"/>
  <c r="I10" i="1"/>
  <c r="E10" i="1"/>
  <c r="K10" i="1"/>
  <c r="C10" i="1"/>
  <c r="D9" i="1"/>
  <c r="V9" i="1"/>
  <c r="R9" i="1"/>
  <c r="N9" i="1"/>
  <c r="J9" i="1"/>
  <c r="F9" i="1"/>
  <c r="T9" i="1"/>
  <c r="L9" i="1"/>
  <c r="C9" i="1"/>
  <c r="R8" i="1"/>
  <c r="J8" i="1"/>
  <c r="I8" i="1"/>
  <c r="B8" i="1"/>
  <c r="N8" i="1"/>
  <c r="M8" i="1"/>
  <c r="C8" i="1"/>
  <c r="Y40" i="1" l="1"/>
  <c r="Y30" i="1"/>
  <c r="AX20" i="1"/>
  <c r="S48" i="1"/>
  <c r="AG62" i="1"/>
  <c r="AO62" i="1"/>
  <c r="AW62" i="1"/>
  <c r="AX12" i="1"/>
  <c r="BW19" i="1"/>
  <c r="G24" i="1"/>
  <c r="O24" i="1"/>
  <c r="W24" i="1"/>
  <c r="R25" i="1"/>
  <c r="G34" i="1"/>
  <c r="H47" i="1"/>
  <c r="E8" i="1"/>
  <c r="CB62" i="1"/>
  <c r="CF62" i="1"/>
  <c r="CJ62" i="1"/>
  <c r="CN62" i="1"/>
  <c r="CR62" i="1"/>
  <c r="G9" i="1"/>
  <c r="K9" i="1"/>
  <c r="O9" i="1"/>
  <c r="S9" i="1"/>
  <c r="W9" i="1"/>
  <c r="E9" i="1"/>
  <c r="I9" i="1"/>
  <c r="M9" i="1"/>
  <c r="Q9" i="1"/>
  <c r="U9" i="1"/>
  <c r="F10" i="1"/>
  <c r="J10" i="1"/>
  <c r="N10" i="1"/>
  <c r="R10" i="1"/>
  <c r="V10" i="1"/>
  <c r="BW11" i="1"/>
  <c r="G11" i="1"/>
  <c r="K11" i="1"/>
  <c r="O11" i="1"/>
  <c r="S11" i="1"/>
  <c r="W11" i="1"/>
  <c r="D12" i="1"/>
  <c r="H12" i="1"/>
  <c r="L12" i="1"/>
  <c r="P12" i="1"/>
  <c r="T12" i="1"/>
  <c r="X12" i="1"/>
  <c r="E15" i="1"/>
  <c r="I15" i="1"/>
  <c r="M15" i="1"/>
  <c r="Q15" i="1"/>
  <c r="U15" i="1"/>
  <c r="CV15" i="1"/>
  <c r="B17" i="1"/>
  <c r="BW17" i="1"/>
  <c r="BW18" i="1"/>
  <c r="BW20" i="1"/>
  <c r="G21" i="1"/>
  <c r="K21" i="1"/>
  <c r="O21" i="1"/>
  <c r="S21" i="1"/>
  <c r="W21" i="1"/>
  <c r="L22" i="1"/>
  <c r="CV22" i="1"/>
  <c r="H22" i="1"/>
  <c r="P22" i="1"/>
  <c r="X22" i="1"/>
  <c r="E23" i="1"/>
  <c r="I23" i="1"/>
  <c r="M23" i="1"/>
  <c r="Q23" i="1"/>
  <c r="U23" i="1"/>
  <c r="D25" i="1"/>
  <c r="H25" i="1"/>
  <c r="L25" i="1"/>
  <c r="P25" i="1"/>
  <c r="T25" i="1"/>
  <c r="X25" i="1"/>
  <c r="F25" i="1"/>
  <c r="J25" i="1"/>
  <c r="AX28" i="1"/>
  <c r="S28" i="1"/>
  <c r="E29" i="1"/>
  <c r="I29" i="1"/>
  <c r="M29" i="1"/>
  <c r="Q29" i="1"/>
  <c r="U29" i="1"/>
  <c r="B31" i="1"/>
  <c r="T34" i="1"/>
  <c r="Y37" i="1"/>
  <c r="AX44" i="1"/>
  <c r="BW44" i="1"/>
  <c r="G44" i="1"/>
  <c r="K44" i="1"/>
  <c r="W44" i="1"/>
  <c r="BW47" i="1"/>
  <c r="BW50" i="1"/>
  <c r="AX56" i="1"/>
  <c r="AX31" i="1"/>
  <c r="G48" i="1"/>
  <c r="O48" i="1"/>
  <c r="W48" i="1"/>
  <c r="H8" i="1"/>
  <c r="AC62" i="1"/>
  <c r="AK62" i="1"/>
  <c r="AS62" i="1"/>
  <c r="Y13" i="1"/>
  <c r="E20" i="1"/>
  <c r="CV24" i="1"/>
  <c r="K24" i="1"/>
  <c r="S24" i="1"/>
  <c r="N25" i="1"/>
  <c r="V25" i="1"/>
  <c r="Y26" i="1"/>
  <c r="I33" i="1"/>
  <c r="Q33" i="1"/>
  <c r="B34" i="1"/>
  <c r="W34" i="1"/>
  <c r="AX38" i="1"/>
  <c r="B38" i="1"/>
  <c r="X47" i="1"/>
  <c r="X8" i="1"/>
  <c r="BB62" i="1"/>
  <c r="CV9" i="1"/>
  <c r="H9" i="1"/>
  <c r="P9" i="1"/>
  <c r="X9" i="1"/>
  <c r="CV10" i="1"/>
  <c r="G10" i="1"/>
  <c r="O10" i="1"/>
  <c r="W10" i="1"/>
  <c r="BW12" i="1"/>
  <c r="Y14" i="1"/>
  <c r="Y16" i="1"/>
  <c r="I18" i="1"/>
  <c r="CV19" i="1"/>
  <c r="D20" i="1"/>
  <c r="H20" i="1"/>
  <c r="L20" i="1"/>
  <c r="P20" i="1"/>
  <c r="T20" i="1"/>
  <c r="X20" i="1"/>
  <c r="L21" i="1"/>
  <c r="F21" i="1"/>
  <c r="R21" i="1"/>
  <c r="V21" i="1"/>
  <c r="L23" i="1"/>
  <c r="P23" i="1"/>
  <c r="T23" i="1"/>
  <c r="E24" i="1"/>
  <c r="I24" i="1"/>
  <c r="M24" i="1"/>
  <c r="Q24" i="1"/>
  <c r="U24" i="1"/>
  <c r="BW25" i="1"/>
  <c r="Y27" i="1"/>
  <c r="D31" i="1"/>
  <c r="AX32" i="1"/>
  <c r="G32" i="1"/>
  <c r="K32" i="1"/>
  <c r="O32" i="1"/>
  <c r="S32" i="1"/>
  <c r="W32" i="1"/>
  <c r="D39" i="1"/>
  <c r="L39" i="1"/>
  <c r="P39" i="1"/>
  <c r="T39" i="1"/>
  <c r="N29" i="1"/>
  <c r="R29" i="1"/>
  <c r="F31" i="1"/>
  <c r="V31" i="1"/>
  <c r="CV32" i="1"/>
  <c r="O33" i="1"/>
  <c r="S33" i="1"/>
  <c r="M33" i="1"/>
  <c r="E34" i="1"/>
  <c r="I34" i="1"/>
  <c r="M34" i="1"/>
  <c r="Q34" i="1"/>
  <c r="U34" i="1"/>
  <c r="Q35" i="1"/>
  <c r="K35" i="1"/>
  <c r="O35" i="1"/>
  <c r="G36" i="1"/>
  <c r="K36" i="1"/>
  <c r="O36" i="1"/>
  <c r="S36" i="1"/>
  <c r="W36" i="1"/>
  <c r="CV36" i="1"/>
  <c r="M38" i="1"/>
  <c r="CV38" i="1"/>
  <c r="BW39" i="1"/>
  <c r="G39" i="1"/>
  <c r="K39" i="1"/>
  <c r="O39" i="1"/>
  <c r="S39" i="1"/>
  <c r="W39" i="1"/>
  <c r="BW41" i="1"/>
  <c r="G41" i="1"/>
  <c r="W41" i="1"/>
  <c r="BW42" i="1"/>
  <c r="CV43" i="1"/>
  <c r="H43" i="1"/>
  <c r="L43" i="1"/>
  <c r="X43" i="1"/>
  <c r="BW51" i="1"/>
  <c r="G51" i="1"/>
  <c r="K51" i="1"/>
  <c r="O51" i="1"/>
  <c r="S51" i="1"/>
  <c r="W51" i="1"/>
  <c r="G55" i="1"/>
  <c r="AX58" i="1"/>
  <c r="D58" i="1"/>
  <c r="L58" i="1"/>
  <c r="X58" i="1"/>
  <c r="H31" i="1"/>
  <c r="L31" i="1"/>
  <c r="P31" i="1"/>
  <c r="T31" i="1"/>
  <c r="X31" i="1"/>
  <c r="M32" i="1"/>
  <c r="F32" i="1"/>
  <c r="J32" i="1"/>
  <c r="N32" i="1"/>
  <c r="R32" i="1"/>
  <c r="V32" i="1"/>
  <c r="H33" i="1"/>
  <c r="X33" i="1"/>
  <c r="N34" i="1"/>
  <c r="R34" i="1"/>
  <c r="BW34" i="1"/>
  <c r="F39" i="1"/>
  <c r="J39" i="1"/>
  <c r="N39" i="1"/>
  <c r="R39" i="1"/>
  <c r="V39" i="1"/>
  <c r="D41" i="1"/>
  <c r="H41" i="1"/>
  <c r="L41" i="1"/>
  <c r="P41" i="1"/>
  <c r="T41" i="1"/>
  <c r="X41" i="1"/>
  <c r="AX45" i="1"/>
  <c r="BW45" i="1"/>
  <c r="B45" i="1"/>
  <c r="D52" i="1"/>
  <c r="Y54" i="1"/>
  <c r="CV42" i="1"/>
  <c r="CV45" i="1"/>
  <c r="W45" i="1"/>
  <c r="AX46" i="1"/>
  <c r="CV46" i="1"/>
  <c r="E49" i="1"/>
  <c r="M49" i="1"/>
  <c r="U49" i="1"/>
  <c r="CV50" i="1"/>
  <c r="F52" i="1"/>
  <c r="J52" i="1"/>
  <c r="N52" i="1"/>
  <c r="R52" i="1"/>
  <c r="V52" i="1"/>
  <c r="E53" i="1"/>
  <c r="I53" i="1"/>
  <c r="M53" i="1"/>
  <c r="Q53" i="1"/>
  <c r="U53" i="1"/>
  <c r="F55" i="1"/>
  <c r="J55" i="1"/>
  <c r="N55" i="1"/>
  <c r="R55" i="1"/>
  <c r="V55" i="1"/>
  <c r="F57" i="1"/>
  <c r="J57" i="1"/>
  <c r="N57" i="1"/>
  <c r="R57" i="1"/>
  <c r="V57" i="1"/>
  <c r="BW57" i="1"/>
  <c r="Q58" i="1"/>
  <c r="F58" i="1"/>
  <c r="J58" i="1"/>
  <c r="N58" i="1"/>
  <c r="R58" i="1"/>
  <c r="V58" i="1"/>
  <c r="L59" i="1"/>
  <c r="CV59" i="1"/>
  <c r="K42" i="1"/>
  <c r="O42" i="1"/>
  <c r="S42" i="1"/>
  <c r="W42" i="1"/>
  <c r="D45" i="1"/>
  <c r="H45" i="1"/>
  <c r="L45" i="1"/>
  <c r="P45" i="1"/>
  <c r="T45" i="1"/>
  <c r="X45" i="1"/>
  <c r="N46" i="1"/>
  <c r="R46" i="1"/>
  <c r="K47" i="1"/>
  <c r="O47" i="1"/>
  <c r="S47" i="1"/>
  <c r="W47" i="1"/>
  <c r="M47" i="1"/>
  <c r="E48" i="1"/>
  <c r="I48" i="1"/>
  <c r="M48" i="1"/>
  <c r="Q48" i="1"/>
  <c r="U48" i="1"/>
  <c r="AX51" i="1"/>
  <c r="AX53" i="1"/>
  <c r="H53" i="1"/>
  <c r="L53" i="1"/>
  <c r="P53" i="1"/>
  <c r="T53" i="1"/>
  <c r="X53" i="1"/>
  <c r="E55" i="1"/>
  <c r="I55" i="1"/>
  <c r="M55" i="1"/>
  <c r="Q55" i="1"/>
  <c r="U55" i="1"/>
  <c r="E56" i="1"/>
  <c r="I56" i="1"/>
  <c r="M56" i="1"/>
  <c r="Q56" i="1"/>
  <c r="U56" i="1"/>
  <c r="F56" i="1"/>
  <c r="J56" i="1"/>
  <c r="R56" i="1"/>
  <c r="V56" i="1"/>
  <c r="CV56" i="1"/>
  <c r="CV58" i="1"/>
  <c r="BW59" i="1"/>
  <c r="G59" i="1"/>
  <c r="W59" i="1"/>
  <c r="AX18" i="1"/>
  <c r="B18" i="1"/>
  <c r="D35" i="1"/>
  <c r="AX35" i="1"/>
  <c r="AH62" i="1"/>
  <c r="AT62" i="1"/>
  <c r="AX8" i="1"/>
  <c r="P8" i="1"/>
  <c r="BH62" i="1"/>
  <c r="BT62" i="1"/>
  <c r="CG62" i="1"/>
  <c r="CS62" i="1"/>
  <c r="H10" i="1"/>
  <c r="P10" i="1"/>
  <c r="T10" i="1"/>
  <c r="X10" i="1"/>
  <c r="D11" i="1"/>
  <c r="H11" i="1"/>
  <c r="L11" i="1"/>
  <c r="P11" i="1"/>
  <c r="T11" i="1"/>
  <c r="X11" i="1"/>
  <c r="G17" i="1"/>
  <c r="K17" i="1"/>
  <c r="O17" i="1"/>
  <c r="S17" i="1"/>
  <c r="W17" i="1"/>
  <c r="BW23" i="1"/>
  <c r="D23" i="1"/>
  <c r="AX9" i="1"/>
  <c r="B9" i="1"/>
  <c r="AX29" i="1"/>
  <c r="AX42" i="1"/>
  <c r="BW43" i="1"/>
  <c r="T8" i="1"/>
  <c r="AL62" i="1"/>
  <c r="AP62" i="1"/>
  <c r="U8" i="1"/>
  <c r="BD62" i="1"/>
  <c r="BL62" i="1"/>
  <c r="BP62" i="1"/>
  <c r="CC62" i="1"/>
  <c r="CK62" i="1"/>
  <c r="CO62" i="1"/>
  <c r="BW9" i="1"/>
  <c r="D10" i="1"/>
  <c r="L10" i="1"/>
  <c r="F8" i="1"/>
  <c r="L8" i="1"/>
  <c r="Q8" i="1"/>
  <c r="V8" i="1"/>
  <c r="AA62" i="1"/>
  <c r="AF62" i="1"/>
  <c r="G8" i="1"/>
  <c r="AJ62" i="1"/>
  <c r="K8" i="1"/>
  <c r="AN62" i="1"/>
  <c r="O8" i="1"/>
  <c r="AR62" i="1"/>
  <c r="S8" i="1"/>
  <c r="AV62" i="1"/>
  <c r="W8" i="1"/>
  <c r="AZ62" i="1"/>
  <c r="BW8" i="1"/>
  <c r="BE62" i="1"/>
  <c r="BI62" i="1"/>
  <c r="BM62" i="1"/>
  <c r="BQ62" i="1"/>
  <c r="BU62" i="1"/>
  <c r="B10" i="1"/>
  <c r="AX10" i="1"/>
  <c r="BW10" i="1"/>
  <c r="B11" i="1"/>
  <c r="AX11" i="1"/>
  <c r="CV12" i="1"/>
  <c r="CV18" i="1"/>
  <c r="BW22" i="1"/>
  <c r="D8" i="1"/>
  <c r="AD62" i="1"/>
  <c r="CV8" i="1"/>
  <c r="F12" i="1"/>
  <c r="J12" i="1"/>
  <c r="N12" i="1"/>
  <c r="R12" i="1"/>
  <c r="V12" i="1"/>
  <c r="AX15" i="1"/>
  <c r="AX19" i="1"/>
  <c r="I20" i="1"/>
  <c r="M20" i="1"/>
  <c r="Q20" i="1"/>
  <c r="AX21" i="1"/>
  <c r="F18" i="1"/>
  <c r="J18" i="1"/>
  <c r="N18" i="1"/>
  <c r="R18" i="1"/>
  <c r="V18" i="1"/>
  <c r="E19" i="1"/>
  <c r="I19" i="1"/>
  <c r="M19" i="1"/>
  <c r="Q19" i="1"/>
  <c r="U19" i="1"/>
  <c r="BW24" i="1"/>
  <c r="AX25" i="1"/>
  <c r="AX34" i="1"/>
  <c r="AX41" i="1"/>
  <c r="BJ62" i="1"/>
  <c r="BY62" i="1"/>
  <c r="CP62" i="1"/>
  <c r="AX23" i="1"/>
  <c r="D24" i="1"/>
  <c r="H24" i="1"/>
  <c r="L24" i="1"/>
  <c r="P24" i="1"/>
  <c r="T24" i="1"/>
  <c r="X24" i="1"/>
  <c r="E28" i="1"/>
  <c r="BW28" i="1"/>
  <c r="F33" i="1"/>
  <c r="J33" i="1"/>
  <c r="N33" i="1"/>
  <c r="R33" i="1"/>
  <c r="V33" i="1"/>
  <c r="BW33" i="1"/>
  <c r="H34" i="1"/>
  <c r="L34" i="1"/>
  <c r="P34" i="1"/>
  <c r="X34" i="1"/>
  <c r="BW35" i="1"/>
  <c r="AX36" i="1"/>
  <c r="H39" i="1"/>
  <c r="X39" i="1"/>
  <c r="BF62" i="1"/>
  <c r="BN62" i="1"/>
  <c r="BR62" i="1"/>
  <c r="BV62" i="1"/>
  <c r="CD62" i="1"/>
  <c r="CH62" i="1"/>
  <c r="CL62" i="1"/>
  <c r="CT62" i="1"/>
  <c r="B12" i="1"/>
  <c r="C62" i="1"/>
  <c r="AE62" i="1"/>
  <c r="AI62" i="1"/>
  <c r="AM62" i="1"/>
  <c r="AQ62" i="1"/>
  <c r="AU62" i="1"/>
  <c r="BC62" i="1"/>
  <c r="BG62" i="1"/>
  <c r="BK62" i="1"/>
  <c r="BO62" i="1"/>
  <c r="BS62" i="1"/>
  <c r="CA62" i="1"/>
  <c r="CE62" i="1"/>
  <c r="CI62" i="1"/>
  <c r="CM62" i="1"/>
  <c r="CQ62" i="1"/>
  <c r="CU62" i="1"/>
  <c r="BW15" i="1"/>
  <c r="CV20" i="1"/>
  <c r="BW21" i="1"/>
  <c r="AX22" i="1"/>
  <c r="B22" i="1"/>
  <c r="CV23" i="1"/>
  <c r="AX24" i="1"/>
  <c r="CV25" i="1"/>
  <c r="J31" i="1"/>
  <c r="N31" i="1"/>
  <c r="R31" i="1"/>
  <c r="D36" i="1"/>
  <c r="L36" i="1"/>
  <c r="P36" i="1"/>
  <c r="T36" i="1"/>
  <c r="F38" i="1"/>
  <c r="N38" i="1"/>
  <c r="R38" i="1"/>
  <c r="V38" i="1"/>
  <c r="CV41" i="1"/>
  <c r="B41" i="1"/>
  <c r="I28" i="1"/>
  <c r="M28" i="1"/>
  <c r="Q28" i="1"/>
  <c r="U28" i="1"/>
  <c r="CV35" i="1"/>
  <c r="BW36" i="1"/>
  <c r="CV39" i="1"/>
  <c r="AX47" i="1"/>
  <c r="B47" i="1"/>
  <c r="B25" i="1"/>
  <c r="CV31" i="1"/>
  <c r="BW32" i="1"/>
  <c r="AX33" i="1"/>
  <c r="B33" i="1"/>
  <c r="CV34" i="1"/>
  <c r="BW38" i="1"/>
  <c r="AX39" i="1"/>
  <c r="B39" i="1"/>
  <c r="K41" i="1"/>
  <c r="G46" i="1"/>
  <c r="K46" i="1"/>
  <c r="O46" i="1"/>
  <c r="S46" i="1"/>
  <c r="W46" i="1"/>
  <c r="BW53" i="1"/>
  <c r="CV29" i="1"/>
  <c r="B44" i="1"/>
  <c r="CV44" i="1"/>
  <c r="K45" i="1"/>
  <c r="O45" i="1"/>
  <c r="S45" i="1"/>
  <c r="B46" i="1"/>
  <c r="CV47" i="1"/>
  <c r="CV48" i="1"/>
  <c r="B48" i="1"/>
  <c r="B49" i="1"/>
  <c r="BW49" i="1"/>
  <c r="F43" i="1"/>
  <c r="J43" i="1"/>
  <c r="N43" i="1"/>
  <c r="R43" i="1"/>
  <c r="V43" i="1"/>
  <c r="E44" i="1"/>
  <c r="I44" i="1"/>
  <c r="M44" i="1"/>
  <c r="Q44" i="1"/>
  <c r="U44" i="1"/>
  <c r="B50" i="1"/>
  <c r="G50" i="1"/>
  <c r="K50" i="1"/>
  <c r="O50" i="1"/>
  <c r="S50" i="1"/>
  <c r="W50" i="1"/>
  <c r="E52" i="1"/>
  <c r="I52" i="1"/>
  <c r="M52" i="1"/>
  <c r="Q52" i="1"/>
  <c r="U52" i="1"/>
  <c r="CV53" i="1"/>
  <c r="AX55" i="1"/>
  <c r="H55" i="1"/>
  <c r="L55" i="1"/>
  <c r="P55" i="1"/>
  <c r="T55" i="1"/>
  <c r="X55" i="1"/>
  <c r="BW55" i="1"/>
  <c r="BW56" i="1"/>
  <c r="AX43" i="1"/>
  <c r="B43" i="1"/>
  <c r="BW48" i="1"/>
  <c r="AX49" i="1"/>
  <c r="D49" i="1"/>
  <c r="H49" i="1"/>
  <c r="L49" i="1"/>
  <c r="P49" i="1"/>
  <c r="T49" i="1"/>
  <c r="X49" i="1"/>
  <c r="CV51" i="1"/>
  <c r="CV55" i="1"/>
  <c r="F47" i="1"/>
  <c r="J47" i="1"/>
  <c r="N47" i="1"/>
  <c r="R47" i="1"/>
  <c r="V47" i="1"/>
  <c r="AX48" i="1"/>
  <c r="CV49" i="1"/>
  <c r="AX50" i="1"/>
  <c r="F51" i="1"/>
  <c r="J51" i="1"/>
  <c r="N51" i="1"/>
  <c r="R51" i="1"/>
  <c r="V51" i="1"/>
  <c r="AX52" i="1"/>
  <c r="B52" i="1"/>
  <c r="B51" i="1"/>
  <c r="D53" i="1"/>
  <c r="D55" i="1"/>
  <c r="CV57" i="1"/>
  <c r="BW58" i="1"/>
  <c r="AX59" i="1"/>
  <c r="Y60" i="1"/>
  <c r="AX57" i="1"/>
  <c r="B59" i="1"/>
  <c r="Y57" i="1" l="1"/>
  <c r="Y52" i="1"/>
  <c r="Y42" i="1"/>
  <c r="Y58" i="1"/>
  <c r="Y32" i="1"/>
  <c r="Y21" i="1"/>
  <c r="Y59" i="1"/>
  <c r="Y53" i="1"/>
  <c r="Y34" i="1"/>
  <c r="Y15" i="1"/>
  <c r="Y56" i="1"/>
  <c r="Y29" i="1"/>
  <c r="Y39" i="1"/>
  <c r="Y25" i="1"/>
  <c r="Y35" i="1"/>
  <c r="Y24" i="1"/>
  <c r="Y51" i="1"/>
  <c r="Y12" i="1"/>
  <c r="Y9" i="1"/>
  <c r="Y17" i="1"/>
  <c r="Y48" i="1"/>
  <c r="Y36" i="1"/>
  <c r="Y31" i="1"/>
  <c r="M62" i="1"/>
  <c r="Y20" i="1"/>
  <c r="R62" i="1"/>
  <c r="E62" i="1"/>
  <c r="J62" i="1"/>
  <c r="Y19" i="1"/>
  <c r="Y55" i="1"/>
  <c r="Y50" i="1"/>
  <c r="I62" i="1"/>
  <c r="Y45" i="1"/>
  <c r="Y28" i="1"/>
  <c r="Y38" i="1"/>
  <c r="Y22" i="1"/>
  <c r="H62" i="1"/>
  <c r="N62" i="1"/>
  <c r="Y23" i="1"/>
  <c r="X62" i="1"/>
  <c r="P62" i="1"/>
  <c r="Y47" i="1"/>
  <c r="V62" i="1"/>
  <c r="B62" i="1"/>
  <c r="Y33" i="1"/>
  <c r="Y41" i="1"/>
  <c r="Y10" i="1"/>
  <c r="W62" i="1"/>
  <c r="O62" i="1"/>
  <c r="G62" i="1"/>
  <c r="Q62" i="1"/>
  <c r="AX62" i="1"/>
  <c r="Y49" i="1"/>
  <c r="Y46" i="1"/>
  <c r="CV62" i="1"/>
  <c r="Y11" i="1"/>
  <c r="L62" i="1"/>
  <c r="U62" i="1"/>
  <c r="T62" i="1"/>
  <c r="D62" i="1"/>
  <c r="Y8" i="1"/>
  <c r="Y43" i="1"/>
  <c r="Y44" i="1"/>
  <c r="BW62" i="1"/>
  <c r="S62" i="1"/>
  <c r="K62" i="1"/>
  <c r="F62" i="1"/>
  <c r="Y18" i="1"/>
  <c r="Y62" i="1" l="1"/>
  <c r="H1383" i="2" l="1"/>
  <c r="F1383" i="2"/>
  <c r="E1383" i="2"/>
  <c r="D1383" i="2"/>
  <c r="C1383" i="2"/>
  <c r="G1383" i="2" s="1"/>
  <c r="H1382" i="2"/>
  <c r="F1382" i="2"/>
  <c r="E1382" i="2"/>
  <c r="D1382" i="2"/>
  <c r="C1382" i="2"/>
  <c r="G1382" i="2" s="1"/>
  <c r="F1381" i="2"/>
  <c r="E1381" i="2"/>
  <c r="D1381" i="2"/>
  <c r="C1381" i="2"/>
  <c r="G1381" i="2" s="1"/>
  <c r="H1380" i="2"/>
  <c r="F1380" i="2"/>
  <c r="E1380" i="2"/>
  <c r="D1380" i="2"/>
  <c r="C1380" i="2"/>
  <c r="G1380" i="2" s="1"/>
  <c r="H1379" i="2"/>
  <c r="F1379" i="2"/>
  <c r="E1379" i="2"/>
  <c r="D1379" i="2"/>
  <c r="C1379" i="2"/>
  <c r="G1379" i="2" s="1"/>
  <c r="H1378" i="2"/>
  <c r="F1378" i="2"/>
  <c r="E1378" i="2"/>
  <c r="D1378" i="2"/>
  <c r="C1378" i="2"/>
  <c r="G1378" i="2" s="1"/>
  <c r="H1377" i="2"/>
  <c r="F1377" i="2"/>
  <c r="E1377" i="2"/>
  <c r="D1377" i="2"/>
  <c r="C1377" i="2"/>
  <c r="G1377" i="2" s="1"/>
  <c r="F1376" i="2"/>
  <c r="E1376" i="2"/>
  <c r="D1376" i="2"/>
  <c r="C1376" i="2"/>
  <c r="G1376" i="2" s="1"/>
  <c r="H1375" i="2"/>
  <c r="F1375" i="2"/>
  <c r="E1375" i="2"/>
  <c r="D1375" i="2"/>
  <c r="C1375" i="2"/>
  <c r="G1375" i="2" s="1"/>
  <c r="F1374" i="2"/>
  <c r="E1374" i="2"/>
  <c r="D1374" i="2"/>
  <c r="C1374" i="2"/>
  <c r="G1374" i="2" s="1"/>
  <c r="F1373" i="2"/>
  <c r="E1373" i="2"/>
  <c r="D1373" i="2"/>
  <c r="C1373" i="2"/>
  <c r="F1372" i="2"/>
  <c r="E1372" i="2"/>
  <c r="D1372" i="2"/>
  <c r="C1372" i="2"/>
  <c r="F1371" i="2"/>
  <c r="E1371" i="2"/>
  <c r="D1371" i="2"/>
  <c r="C1371" i="2"/>
  <c r="F1370" i="2"/>
  <c r="E1370" i="2"/>
  <c r="D1370" i="2"/>
  <c r="C1370" i="2"/>
  <c r="F1369" i="2"/>
  <c r="E1369" i="2"/>
  <c r="D1369" i="2"/>
  <c r="C1369" i="2"/>
  <c r="H1368" i="2"/>
  <c r="F1368" i="2"/>
  <c r="E1368" i="2"/>
  <c r="D1368" i="2"/>
  <c r="C1368" i="2"/>
  <c r="H1367" i="2"/>
  <c r="F1367" i="2"/>
  <c r="E1367" i="2"/>
  <c r="D1367" i="2"/>
  <c r="C1367" i="2"/>
  <c r="H1366" i="2"/>
  <c r="F1366" i="2"/>
  <c r="E1366" i="2"/>
  <c r="D1366" i="2"/>
  <c r="C1366" i="2"/>
  <c r="H1365" i="2"/>
  <c r="F1365" i="2"/>
  <c r="E1365" i="2"/>
  <c r="D1365" i="2"/>
  <c r="C1365" i="2"/>
  <c r="H1364" i="2"/>
  <c r="F1364" i="2"/>
  <c r="E1364" i="2"/>
  <c r="D1364" i="2"/>
  <c r="C1364" i="2"/>
  <c r="H1363" i="2"/>
  <c r="F1363" i="2"/>
  <c r="E1363" i="2"/>
  <c r="D1363" i="2"/>
  <c r="C1363" i="2"/>
  <c r="H1362" i="2"/>
  <c r="F1362" i="2"/>
  <c r="E1362" i="2"/>
  <c r="D1362" i="2"/>
  <c r="C1362" i="2"/>
  <c r="H1361" i="2"/>
  <c r="F1361" i="2"/>
  <c r="E1361" i="2"/>
  <c r="D1361" i="2"/>
  <c r="C1361" i="2"/>
  <c r="H1360" i="2"/>
  <c r="F1360" i="2"/>
  <c r="F1385" i="2" s="1"/>
  <c r="E1360" i="2"/>
  <c r="E1385" i="2" s="1"/>
  <c r="D1360" i="2"/>
  <c r="C1360" i="2"/>
  <c r="H1359" i="2"/>
  <c r="F1359" i="2"/>
  <c r="E1359" i="2"/>
  <c r="D1359" i="2"/>
  <c r="D1385" i="2" s="1"/>
  <c r="C1359" i="2"/>
  <c r="C1385" i="2" s="1"/>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79" i="2"/>
  <c r="G1278" i="2"/>
  <c r="H1277" i="2"/>
  <c r="G1277" i="2"/>
  <c r="G1276" i="2"/>
  <c r="G1275" i="2"/>
  <c r="G1274" i="2"/>
  <c r="G1273" i="2"/>
  <c r="H1272" i="2"/>
  <c r="G1272" i="2"/>
  <c r="G1271" i="2"/>
  <c r="H1270" i="2"/>
  <c r="G1270" i="2"/>
  <c r="G1269" i="2"/>
  <c r="H1268" i="2"/>
  <c r="G1268" i="2"/>
  <c r="G1267" i="2"/>
  <c r="G1266" i="2"/>
  <c r="G1265" i="2"/>
  <c r="G1264" i="2"/>
  <c r="G1263" i="2"/>
  <c r="G1262" i="2"/>
  <c r="G1261" i="2"/>
  <c r="G1260" i="2"/>
  <c r="G1259" i="2"/>
  <c r="G1258" i="2"/>
  <c r="G1257" i="2"/>
  <c r="G1256" i="2"/>
  <c r="G1255"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1" i="2"/>
  <c r="G1200" i="2"/>
  <c r="H1199" i="2"/>
  <c r="G1199" i="2"/>
  <c r="G1198" i="2"/>
  <c r="G1197" i="2"/>
  <c r="G1196" i="2"/>
  <c r="G1195" i="2"/>
  <c r="H1194" i="2"/>
  <c r="G1194" i="2"/>
  <c r="G1193" i="2"/>
  <c r="H1192" i="2"/>
  <c r="G1192" i="2"/>
  <c r="H1191" i="2"/>
  <c r="G1191" i="2"/>
  <c r="H1190" i="2"/>
  <c r="G1190" i="2"/>
  <c r="G1189" i="2"/>
  <c r="G1188" i="2"/>
  <c r="G1187" i="2"/>
  <c r="G1186" i="2"/>
  <c r="G1185" i="2"/>
  <c r="G1184" i="2"/>
  <c r="G1183" i="2"/>
  <c r="G1182" i="2"/>
  <c r="G1181" i="2"/>
  <c r="G1180" i="2"/>
  <c r="G1179" i="2"/>
  <c r="G1178" i="2"/>
  <c r="G1177" i="2"/>
  <c r="G1175" i="2"/>
  <c r="G1174" i="2"/>
  <c r="H1173" i="2"/>
  <c r="G1173" i="2"/>
  <c r="G1172" i="2"/>
  <c r="G1171" i="2"/>
  <c r="G1170" i="2"/>
  <c r="G1169" i="2"/>
  <c r="H1168" i="2"/>
  <c r="G1168" i="2"/>
  <c r="G1167" i="2"/>
  <c r="G1166" i="2"/>
  <c r="G1165" i="2"/>
  <c r="G1164" i="2"/>
  <c r="G1163" i="2"/>
  <c r="G1162" i="2"/>
  <c r="G1161" i="2"/>
  <c r="G1160" i="2"/>
  <c r="G1159" i="2"/>
  <c r="G1158" i="2"/>
  <c r="G1157" i="2"/>
  <c r="G1156" i="2"/>
  <c r="G1155" i="2"/>
  <c r="G1154" i="2"/>
  <c r="G1153" i="2"/>
  <c r="G1152" i="2"/>
  <c r="G1151"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9"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1" i="2"/>
  <c r="G1070" i="2"/>
  <c r="H1069"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5" i="2"/>
  <c r="G914" i="2"/>
  <c r="G913" i="2"/>
  <c r="G912" i="2"/>
  <c r="G911" i="2"/>
  <c r="G910" i="2"/>
  <c r="G909" i="2"/>
  <c r="G908" i="2"/>
  <c r="G907" i="2"/>
  <c r="H906" i="2"/>
  <c r="G906" i="2"/>
  <c r="G905" i="2"/>
  <c r="H904" i="2"/>
  <c r="G904" i="2"/>
  <c r="H903" i="2"/>
  <c r="G903" i="2"/>
  <c r="H902" i="2"/>
  <c r="G902" i="2"/>
  <c r="G901" i="2"/>
  <c r="G900" i="2"/>
  <c r="G899" i="2"/>
  <c r="G898" i="2"/>
  <c r="G897" i="2"/>
  <c r="G896" i="2"/>
  <c r="G895" i="2"/>
  <c r="G894" i="2"/>
  <c r="G893" i="2"/>
  <c r="G892" i="2"/>
  <c r="G891"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7" i="2"/>
  <c r="G706" i="2"/>
  <c r="G705" i="2"/>
  <c r="G704" i="2"/>
  <c r="G703" i="2"/>
  <c r="G702" i="2"/>
  <c r="G701" i="2"/>
  <c r="H700" i="2"/>
  <c r="G700" i="2"/>
  <c r="G699" i="2"/>
  <c r="H698" i="2"/>
  <c r="G698" i="2"/>
  <c r="G697" i="2"/>
  <c r="G696" i="2"/>
  <c r="G695" i="2"/>
  <c r="G694" i="2"/>
  <c r="G693" i="2"/>
  <c r="G692" i="2"/>
  <c r="G691" i="2"/>
  <c r="G690" i="2"/>
  <c r="G689" i="2"/>
  <c r="G688" i="2"/>
  <c r="G687" i="2"/>
  <c r="G686" i="2"/>
  <c r="G685" i="2"/>
  <c r="G684" i="2"/>
  <c r="G683"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5" i="2"/>
  <c r="G654" i="2"/>
  <c r="H653" i="2"/>
  <c r="G653" i="2"/>
  <c r="G652" i="2"/>
  <c r="G651" i="2"/>
  <c r="G650" i="2"/>
  <c r="G649" i="2"/>
  <c r="H648" i="2"/>
  <c r="G648" i="2"/>
  <c r="G647" i="2"/>
  <c r="H646" i="2"/>
  <c r="G646" i="2"/>
  <c r="G645" i="2"/>
  <c r="H644" i="2"/>
  <c r="G644" i="2"/>
  <c r="H643" i="2"/>
  <c r="G643" i="2"/>
  <c r="H642" i="2"/>
  <c r="G642" i="2"/>
  <c r="G641" i="2"/>
  <c r="G640" i="2"/>
  <c r="G639" i="2"/>
  <c r="G638" i="2"/>
  <c r="G637" i="2"/>
  <c r="G636" i="2"/>
  <c r="G635" i="2"/>
  <c r="G634" i="2"/>
  <c r="G633" i="2"/>
  <c r="G632" i="2"/>
  <c r="G631"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3" i="2"/>
  <c r="G602" i="2"/>
  <c r="H601" i="2"/>
  <c r="G601" i="2"/>
  <c r="G600" i="2"/>
  <c r="G599" i="2"/>
  <c r="G598" i="2"/>
  <c r="G597" i="2"/>
  <c r="G596" i="2"/>
  <c r="G595" i="2"/>
  <c r="G594" i="2"/>
  <c r="G593" i="2"/>
  <c r="G592" i="2"/>
  <c r="G591" i="2"/>
  <c r="G590" i="2"/>
  <c r="G589" i="2"/>
  <c r="G588" i="2"/>
  <c r="G587" i="2"/>
  <c r="G586" i="2"/>
  <c r="G585" i="2"/>
  <c r="G584" i="2"/>
  <c r="G583" i="2"/>
  <c r="G582" i="2"/>
  <c r="G581" i="2"/>
  <c r="G580" i="2"/>
  <c r="G579"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5" i="2"/>
  <c r="G524" i="2"/>
  <c r="H523" i="2"/>
  <c r="G523" i="2"/>
  <c r="G522" i="2"/>
  <c r="G521" i="2"/>
  <c r="G520" i="2"/>
  <c r="G519" i="2"/>
  <c r="G518" i="2"/>
  <c r="G517" i="2"/>
  <c r="G516" i="2"/>
  <c r="G515" i="2"/>
  <c r="G514" i="2"/>
  <c r="G513" i="2"/>
  <c r="G512" i="2"/>
  <c r="G511" i="2"/>
  <c r="G510" i="2"/>
  <c r="G509" i="2"/>
  <c r="G508" i="2"/>
  <c r="G507" i="2"/>
  <c r="G506" i="2"/>
  <c r="G505" i="2"/>
  <c r="G504" i="2"/>
  <c r="G503" i="2"/>
  <c r="G502" i="2"/>
  <c r="G501"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5" i="2"/>
  <c r="G394" i="2"/>
  <c r="H393" i="2"/>
  <c r="G393" i="2"/>
  <c r="G392" i="2"/>
  <c r="G391" i="2"/>
  <c r="G390" i="2"/>
  <c r="G389" i="2"/>
  <c r="G388" i="2"/>
  <c r="G387" i="2"/>
  <c r="G386" i="2"/>
  <c r="G385" i="2"/>
  <c r="G384" i="2"/>
  <c r="G383" i="2"/>
  <c r="G382" i="2"/>
  <c r="G381" i="2"/>
  <c r="G380" i="2"/>
  <c r="G379" i="2"/>
  <c r="G378" i="2"/>
  <c r="G377" i="2"/>
  <c r="G376" i="2"/>
  <c r="G375" i="2"/>
  <c r="G374" i="2"/>
  <c r="G373" i="2"/>
  <c r="G372" i="2"/>
  <c r="G371"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3" i="2"/>
  <c r="G212" i="2"/>
  <c r="H211" i="2"/>
  <c r="G211" i="2"/>
  <c r="G210" i="2"/>
  <c r="G209" i="2"/>
  <c r="G208" i="2"/>
  <c r="G207" i="2"/>
  <c r="H206" i="2"/>
  <c r="G206" i="2"/>
  <c r="G205" i="2"/>
  <c r="G204" i="2"/>
  <c r="G203" i="2"/>
  <c r="G202" i="2"/>
  <c r="G201" i="2"/>
  <c r="H200" i="2"/>
  <c r="G200" i="2"/>
  <c r="H199" i="2"/>
  <c r="G199" i="2"/>
  <c r="G198" i="2"/>
  <c r="G197" i="2"/>
  <c r="G196" i="2"/>
  <c r="G195" i="2"/>
  <c r="G194" i="2"/>
  <c r="G193" i="2"/>
  <c r="G192" i="2"/>
  <c r="G191" i="2"/>
  <c r="G190" i="2"/>
  <c r="G189" i="2"/>
  <c r="G187" i="2"/>
  <c r="G186" i="2"/>
  <c r="H185" i="2"/>
  <c r="H1381" i="2" s="1"/>
  <c r="G185" i="2"/>
  <c r="G184" i="2"/>
  <c r="G183" i="2"/>
  <c r="G182" i="2"/>
  <c r="G181" i="2"/>
  <c r="H180" i="2"/>
  <c r="H1376" i="2" s="1"/>
  <c r="G180" i="2"/>
  <c r="G179" i="2"/>
  <c r="H178" i="2"/>
  <c r="G178" i="2"/>
  <c r="H177" i="2"/>
  <c r="G177" i="2"/>
  <c r="G176" i="2"/>
  <c r="G175" i="2"/>
  <c r="G174" i="2"/>
  <c r="G173" i="2"/>
  <c r="G172" i="2"/>
  <c r="G171" i="2"/>
  <c r="G170" i="2"/>
  <c r="G169" i="2"/>
  <c r="G168" i="2"/>
  <c r="G167" i="2"/>
  <c r="G166" i="2"/>
  <c r="G165" i="2"/>
  <c r="G164" i="2"/>
  <c r="G163"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09" i="2"/>
  <c r="G108" i="2"/>
  <c r="G107" i="2"/>
  <c r="G106" i="2"/>
  <c r="G105" i="2"/>
  <c r="G104" i="2"/>
  <c r="G103" i="2"/>
  <c r="G102" i="2"/>
  <c r="G101" i="2"/>
  <c r="H100" i="2"/>
  <c r="H1374" i="2" s="1"/>
  <c r="G100" i="2"/>
  <c r="H99" i="2"/>
  <c r="G99" i="2"/>
  <c r="H98" i="2"/>
  <c r="G98" i="2"/>
  <c r="H97" i="2"/>
  <c r="G97" i="2"/>
  <c r="H96" i="2"/>
  <c r="H1370" i="2" s="1"/>
  <c r="G96" i="2"/>
  <c r="H95" i="2"/>
  <c r="H1369" i="2" s="1"/>
  <c r="G95" i="2"/>
  <c r="G1369" i="2" s="1"/>
  <c r="G94" i="2"/>
  <c r="G93" i="2"/>
  <c r="G92" i="2"/>
  <c r="G91" i="2"/>
  <c r="G1365" i="2" s="1"/>
  <c r="G90" i="2"/>
  <c r="G89" i="2"/>
  <c r="G88" i="2"/>
  <c r="G87" i="2"/>
  <c r="G1361" i="2" s="1"/>
  <c r="G86" i="2"/>
  <c r="G85" i="2"/>
  <c r="G83" i="2"/>
  <c r="G82" i="2"/>
  <c r="G81" i="2"/>
  <c r="G80" i="2"/>
  <c r="G79" i="2"/>
  <c r="G78" i="2"/>
  <c r="G77" i="2"/>
  <c r="G76" i="2"/>
  <c r="G75" i="2"/>
  <c r="G74" i="2"/>
  <c r="G73" i="2"/>
  <c r="G72" i="2"/>
  <c r="G71" i="2"/>
  <c r="G70" i="2"/>
  <c r="G69" i="2"/>
  <c r="G68" i="2"/>
  <c r="G67" i="2"/>
  <c r="G66" i="2"/>
  <c r="G65" i="2"/>
  <c r="G64" i="2"/>
  <c r="G63" i="2"/>
  <c r="G62" i="2"/>
  <c r="G61" i="2"/>
  <c r="G60" i="2"/>
  <c r="G59" i="2"/>
  <c r="G57" i="2"/>
  <c r="G56" i="2"/>
  <c r="H55" i="2"/>
  <c r="G55" i="2"/>
  <c r="G54" i="2"/>
  <c r="G53" i="2"/>
  <c r="G52" i="2"/>
  <c r="G51" i="2"/>
  <c r="G50" i="2"/>
  <c r="G49" i="2"/>
  <c r="G48" i="2"/>
  <c r="H47" i="2"/>
  <c r="H1373" i="2" s="1"/>
  <c r="G47" i="2"/>
  <c r="G1373" i="2" s="1"/>
  <c r="H46" i="2"/>
  <c r="H1372" i="2" s="1"/>
  <c r="G46" i="2"/>
  <c r="G1372" i="2" s="1"/>
  <c r="H45" i="2"/>
  <c r="H1371" i="2" s="1"/>
  <c r="G45" i="2"/>
  <c r="G1371" i="2" s="1"/>
  <c r="G44" i="2"/>
  <c r="G1370" i="2" s="1"/>
  <c r="G43" i="2"/>
  <c r="G42" i="2"/>
  <c r="G1368" i="2" s="1"/>
  <c r="G41" i="2"/>
  <c r="G1367" i="2" s="1"/>
  <c r="G40" i="2"/>
  <c r="G1366" i="2" s="1"/>
  <c r="G39" i="2"/>
  <c r="G38" i="2"/>
  <c r="G1364" i="2" s="1"/>
  <c r="G37" i="2"/>
  <c r="G1363" i="2" s="1"/>
  <c r="G36" i="2"/>
  <c r="G1362" i="2" s="1"/>
  <c r="G35" i="2"/>
  <c r="G34" i="2"/>
  <c r="G1360" i="2" s="1"/>
  <c r="G33" i="2"/>
  <c r="G1359" i="2" s="1"/>
  <c r="G31" i="2"/>
  <c r="G30" i="2"/>
  <c r="G29" i="2"/>
  <c r="G28" i="2"/>
  <c r="G27" i="2"/>
  <c r="G26" i="2"/>
  <c r="G25" i="2"/>
  <c r="G24" i="2"/>
  <c r="G23" i="2"/>
  <c r="G22" i="2"/>
  <c r="G21" i="2"/>
  <c r="G20" i="2"/>
  <c r="G19" i="2"/>
  <c r="G18" i="2"/>
  <c r="G17" i="2"/>
  <c r="G16" i="2"/>
  <c r="G15" i="2"/>
  <c r="G14" i="2"/>
  <c r="G13" i="2"/>
  <c r="G12" i="2"/>
  <c r="G11" i="2"/>
  <c r="G10" i="2"/>
  <c r="G9" i="2"/>
  <c r="G8" i="2"/>
  <c r="G7" i="2"/>
  <c r="G1385" i="2" l="1"/>
  <c r="H1385" i="2"/>
  <c r="R58" i="89" l="1"/>
  <c r="Q58" i="89"/>
  <c r="O58" i="89"/>
  <c r="N58" i="89"/>
  <c r="L58" i="89"/>
  <c r="K58" i="89"/>
  <c r="I58" i="89"/>
  <c r="H58" i="89"/>
  <c r="R57" i="89"/>
  <c r="Q57" i="89"/>
  <c r="O57" i="89"/>
  <c r="N57" i="89"/>
  <c r="L57" i="89"/>
  <c r="K57" i="89"/>
  <c r="I57" i="89"/>
  <c r="H57" i="89"/>
  <c r="R56" i="89"/>
  <c r="Q56" i="89"/>
  <c r="O56" i="89"/>
  <c r="N56" i="89"/>
  <c r="L56" i="89"/>
  <c r="K56" i="89"/>
  <c r="I56" i="89"/>
  <c r="H56" i="89"/>
  <c r="R55" i="89"/>
  <c r="Q55" i="89"/>
  <c r="O55" i="89"/>
  <c r="N55" i="89"/>
  <c r="L55" i="89"/>
  <c r="K55" i="89"/>
  <c r="I55" i="89"/>
  <c r="H55" i="89"/>
  <c r="R54" i="89"/>
  <c r="Q54" i="89"/>
  <c r="O54" i="89"/>
  <c r="N54" i="89"/>
  <c r="L54" i="89"/>
  <c r="K54" i="89"/>
  <c r="I54" i="89"/>
  <c r="H54" i="89"/>
  <c r="R53" i="89"/>
  <c r="Q53" i="89"/>
  <c r="O53" i="89"/>
  <c r="N53" i="89"/>
  <c r="L53" i="89"/>
  <c r="K53" i="89"/>
  <c r="I53" i="89"/>
  <c r="H53" i="89"/>
  <c r="R52" i="89"/>
  <c r="Q52" i="89"/>
  <c r="O52" i="89"/>
  <c r="N52" i="89"/>
  <c r="L52" i="89"/>
  <c r="K52" i="89"/>
  <c r="I52" i="89"/>
  <c r="H52" i="89"/>
  <c r="R51" i="89"/>
  <c r="Q51" i="89"/>
  <c r="O51" i="89"/>
  <c r="N51" i="89"/>
  <c r="L51" i="89"/>
  <c r="K51" i="89"/>
  <c r="I51" i="89"/>
  <c r="H51" i="89"/>
  <c r="R50" i="89"/>
  <c r="Q50" i="89"/>
  <c r="O50" i="89"/>
  <c r="N50" i="89"/>
  <c r="L50" i="89"/>
  <c r="K50" i="89"/>
  <c r="I50" i="89"/>
  <c r="H50" i="89"/>
  <c r="R49" i="89"/>
  <c r="Q49" i="89"/>
  <c r="O49" i="89"/>
  <c r="N49" i="89"/>
  <c r="L49" i="89"/>
  <c r="K49" i="89"/>
  <c r="I49" i="89"/>
  <c r="H49" i="89"/>
  <c r="R48" i="89"/>
  <c r="Q48" i="89"/>
  <c r="O48" i="89"/>
  <c r="N48" i="89"/>
  <c r="L48" i="89"/>
  <c r="K48" i="89"/>
  <c r="I48" i="89"/>
  <c r="H48" i="89"/>
  <c r="R47" i="89"/>
  <c r="Q47" i="89"/>
  <c r="O47" i="89"/>
  <c r="N47" i="89"/>
  <c r="L47" i="89"/>
  <c r="K47" i="89"/>
  <c r="I47" i="89"/>
  <c r="H47" i="89"/>
  <c r="R46" i="89"/>
  <c r="Q46" i="89"/>
  <c r="O46" i="89"/>
  <c r="N46" i="89"/>
  <c r="L46" i="89"/>
  <c r="K46" i="89"/>
  <c r="I46" i="89"/>
  <c r="H46" i="89"/>
  <c r="R45" i="89"/>
  <c r="Q45" i="89"/>
  <c r="O45" i="89"/>
  <c r="N45" i="89"/>
  <c r="L45" i="89"/>
  <c r="K45" i="89"/>
  <c r="I45" i="89"/>
  <c r="H45" i="89"/>
  <c r="R44" i="89"/>
  <c r="Q44" i="89"/>
  <c r="O44" i="89"/>
  <c r="N44" i="89"/>
  <c r="L44" i="89"/>
  <c r="K44" i="89"/>
  <c r="I44" i="89"/>
  <c r="H44" i="89"/>
  <c r="R43" i="89"/>
  <c r="Q43" i="89"/>
  <c r="O43" i="89"/>
  <c r="N43" i="89"/>
  <c r="L43" i="89"/>
  <c r="K43" i="89"/>
  <c r="I43" i="89"/>
  <c r="H43" i="89"/>
  <c r="R42" i="89"/>
  <c r="Q42" i="89"/>
  <c r="O42" i="89"/>
  <c r="N42" i="89"/>
  <c r="L42" i="89"/>
  <c r="K42" i="89"/>
  <c r="I42" i="89"/>
  <c r="H42" i="89"/>
  <c r="R41" i="89"/>
  <c r="Q41" i="89"/>
  <c r="O41" i="89"/>
  <c r="N41" i="89"/>
  <c r="L41" i="89"/>
  <c r="K41" i="89"/>
  <c r="I41" i="89"/>
  <c r="H41" i="89"/>
  <c r="R40" i="89"/>
  <c r="Q40" i="89"/>
  <c r="O40" i="89"/>
  <c r="N40" i="89"/>
  <c r="L40" i="89"/>
  <c r="K40" i="89"/>
  <c r="I40" i="89"/>
  <c r="H40" i="89"/>
  <c r="R39" i="89"/>
  <c r="Q39" i="89"/>
  <c r="O39" i="89"/>
  <c r="N39" i="89"/>
  <c r="L39" i="89"/>
  <c r="K39" i="89"/>
  <c r="I39" i="89"/>
  <c r="H39" i="89"/>
  <c r="R38" i="89"/>
  <c r="Q38" i="89"/>
  <c r="O38" i="89"/>
  <c r="N38" i="89"/>
  <c r="L38" i="89"/>
  <c r="K38" i="89"/>
  <c r="I38" i="89"/>
  <c r="H38" i="89"/>
  <c r="R37" i="89"/>
  <c r="Q37" i="89"/>
  <c r="O37" i="89"/>
  <c r="N37" i="89"/>
  <c r="L37" i="89"/>
  <c r="K37" i="89"/>
  <c r="I37" i="89"/>
  <c r="H37" i="89"/>
  <c r="R36" i="89"/>
  <c r="Q36" i="89"/>
  <c r="O36" i="89"/>
  <c r="N36" i="89"/>
  <c r="L36" i="89"/>
  <c r="K36" i="89"/>
  <c r="I36" i="89"/>
  <c r="H36" i="89"/>
  <c r="R35" i="89"/>
  <c r="Q35" i="89"/>
  <c r="O35" i="89"/>
  <c r="N35" i="89"/>
  <c r="L35" i="89"/>
  <c r="K35" i="89"/>
  <c r="I35" i="89"/>
  <c r="H35" i="89"/>
  <c r="R34" i="89"/>
  <c r="Q34" i="89"/>
  <c r="O34" i="89"/>
  <c r="N34" i="89"/>
  <c r="L34" i="89"/>
  <c r="K34" i="89"/>
  <c r="I34" i="89"/>
  <c r="H34" i="89"/>
  <c r="R33" i="89"/>
  <c r="Q33" i="89"/>
  <c r="O33" i="89"/>
  <c r="N33" i="89"/>
  <c r="L33" i="89"/>
  <c r="K33" i="89"/>
  <c r="I33" i="89"/>
  <c r="H33" i="89"/>
  <c r="R32" i="89"/>
  <c r="Q32" i="89"/>
  <c r="O32" i="89"/>
  <c r="N32" i="89"/>
  <c r="L32" i="89"/>
  <c r="K32" i="89"/>
  <c r="I32" i="89"/>
  <c r="H32" i="89"/>
  <c r="R31" i="89"/>
  <c r="Q31" i="89"/>
  <c r="O31" i="89"/>
  <c r="N31" i="89"/>
  <c r="L31" i="89"/>
  <c r="K31" i="89"/>
  <c r="I31" i="89"/>
  <c r="H31" i="89"/>
  <c r="R30" i="89"/>
  <c r="Q30" i="89"/>
  <c r="O30" i="89"/>
  <c r="N30" i="89"/>
  <c r="L30" i="89"/>
  <c r="K30" i="89"/>
  <c r="I30" i="89"/>
  <c r="H30" i="89"/>
  <c r="R29" i="89"/>
  <c r="Q29" i="89"/>
  <c r="O29" i="89"/>
  <c r="N29" i="89"/>
  <c r="L29" i="89"/>
  <c r="K29" i="89"/>
  <c r="I29" i="89"/>
  <c r="H29" i="89"/>
  <c r="R28" i="89"/>
  <c r="Q28" i="89"/>
  <c r="O28" i="89"/>
  <c r="N28" i="89"/>
  <c r="L28" i="89"/>
  <c r="K28" i="89"/>
  <c r="I28" i="89"/>
  <c r="H28" i="89"/>
  <c r="R27" i="89"/>
  <c r="Q27" i="89"/>
  <c r="O27" i="89"/>
  <c r="N27" i="89"/>
  <c r="L27" i="89"/>
  <c r="K27" i="89"/>
  <c r="I27" i="89"/>
  <c r="H27" i="89"/>
  <c r="R26" i="89"/>
  <c r="Q26" i="89"/>
  <c r="O26" i="89"/>
  <c r="N26" i="89"/>
  <c r="L26" i="89"/>
  <c r="K26" i="89"/>
  <c r="I26" i="89"/>
  <c r="H26" i="89"/>
  <c r="R25" i="89"/>
  <c r="Q25" i="89"/>
  <c r="O25" i="89"/>
  <c r="N25" i="89"/>
  <c r="L25" i="89"/>
  <c r="K25" i="89"/>
  <c r="I25" i="89"/>
  <c r="H25" i="89"/>
  <c r="R24" i="89"/>
  <c r="Q24" i="89"/>
  <c r="O24" i="89"/>
  <c r="N24" i="89"/>
  <c r="L24" i="89"/>
  <c r="K24" i="89"/>
  <c r="I24" i="89"/>
  <c r="H24" i="89"/>
  <c r="R23" i="89"/>
  <c r="Q23" i="89"/>
  <c r="O23" i="89"/>
  <c r="N23" i="89"/>
  <c r="L23" i="89"/>
  <c r="K23" i="89"/>
  <c r="I23" i="89"/>
  <c r="H23" i="89"/>
  <c r="R22" i="89"/>
  <c r="Q22" i="89"/>
  <c r="O22" i="89"/>
  <c r="N22" i="89"/>
  <c r="L22" i="89"/>
  <c r="K22" i="89"/>
  <c r="I22" i="89"/>
  <c r="H22" i="89"/>
  <c r="R21" i="89"/>
  <c r="Q21" i="89"/>
  <c r="O21" i="89"/>
  <c r="N21" i="89"/>
  <c r="L21" i="89"/>
  <c r="K21" i="89"/>
  <c r="I21" i="89"/>
  <c r="H21" i="89"/>
  <c r="R20" i="89"/>
  <c r="Q20" i="89"/>
  <c r="O20" i="89"/>
  <c r="N20" i="89"/>
  <c r="L20" i="89"/>
  <c r="K20" i="89"/>
  <c r="I20" i="89"/>
  <c r="H20" i="89"/>
  <c r="R19" i="89"/>
  <c r="Q19" i="89"/>
  <c r="O19" i="89"/>
  <c r="N19" i="89"/>
  <c r="L19" i="89"/>
  <c r="K19" i="89"/>
  <c r="I19" i="89"/>
  <c r="H19" i="89"/>
  <c r="R18" i="89"/>
  <c r="Q18" i="89"/>
  <c r="O18" i="89"/>
  <c r="N18" i="89"/>
  <c r="L18" i="89"/>
  <c r="K18" i="89"/>
  <c r="I18" i="89"/>
  <c r="H18" i="89"/>
  <c r="R17" i="89"/>
  <c r="Q17" i="89"/>
  <c r="O17" i="89"/>
  <c r="N17" i="89"/>
  <c r="L17" i="89"/>
  <c r="K17" i="89"/>
  <c r="I17" i="89"/>
  <c r="H17" i="89"/>
  <c r="R16" i="89"/>
  <c r="Q16" i="89"/>
  <c r="O16" i="89"/>
  <c r="N16" i="89"/>
  <c r="L16" i="89"/>
  <c r="K16" i="89"/>
  <c r="I16" i="89"/>
  <c r="H16" i="89"/>
  <c r="R15" i="89"/>
  <c r="Q15" i="89"/>
  <c r="O15" i="89"/>
  <c r="N15" i="89"/>
  <c r="L15" i="89"/>
  <c r="K15" i="89"/>
  <c r="I15" i="89"/>
  <c r="H15" i="89"/>
  <c r="R14" i="89"/>
  <c r="Q14" i="89"/>
  <c r="O14" i="89"/>
  <c r="N14" i="89"/>
  <c r="L14" i="89"/>
  <c r="K14" i="89"/>
  <c r="I14" i="89"/>
  <c r="H14" i="89"/>
  <c r="R13" i="89"/>
  <c r="Q13" i="89"/>
  <c r="O13" i="89"/>
  <c r="N13" i="89"/>
  <c r="L13" i="89"/>
  <c r="K13" i="89"/>
  <c r="I13" i="89"/>
  <c r="H13" i="89"/>
  <c r="R12" i="89"/>
  <c r="Q12" i="89"/>
  <c r="O12" i="89"/>
  <c r="N12" i="89"/>
  <c r="L12" i="89"/>
  <c r="K12" i="89"/>
  <c r="I12" i="89"/>
  <c r="H12" i="89"/>
  <c r="R11" i="89"/>
  <c r="Q11" i="89"/>
  <c r="O11" i="89"/>
  <c r="N11" i="89"/>
  <c r="L11" i="89"/>
  <c r="K11" i="89"/>
  <c r="I11" i="89"/>
  <c r="H11" i="89"/>
  <c r="R10" i="89"/>
  <c r="Q10" i="89"/>
  <c r="O10" i="89"/>
  <c r="N10" i="89"/>
  <c r="L10" i="89"/>
  <c r="K10" i="89"/>
  <c r="I10" i="89"/>
  <c r="H10" i="89"/>
  <c r="R9" i="89"/>
  <c r="Q9" i="89"/>
  <c r="O9" i="89"/>
  <c r="N9" i="89"/>
  <c r="L9" i="89"/>
  <c r="K9" i="89"/>
  <c r="I9" i="89"/>
  <c r="H9" i="89"/>
  <c r="R8" i="89"/>
  <c r="Q8" i="89"/>
  <c r="O8" i="89"/>
  <c r="N8" i="89"/>
  <c r="L8" i="89"/>
  <c r="K8" i="89"/>
  <c r="I8" i="89"/>
  <c r="H8" i="89"/>
  <c r="R7" i="89"/>
  <c r="Q7" i="89"/>
  <c r="O7" i="89"/>
  <c r="N7" i="89"/>
  <c r="N60" i="89" s="1"/>
  <c r="L7" i="89"/>
  <c r="K7" i="89"/>
  <c r="I7" i="89"/>
  <c r="H7" i="89"/>
  <c r="R6" i="89"/>
  <c r="Q6" i="89"/>
  <c r="Q60" i="89" s="1"/>
  <c r="O6" i="89"/>
  <c r="O60" i="89"/>
  <c r="N6" i="89"/>
  <c r="L6" i="89"/>
  <c r="K6" i="89"/>
  <c r="K60" i="89"/>
  <c r="I6" i="89"/>
  <c r="H6" i="89"/>
  <c r="E58" i="88"/>
  <c r="D58" i="88"/>
  <c r="C58" i="88"/>
  <c r="B58" i="88"/>
  <c r="E57" i="88"/>
  <c r="D57" i="88"/>
  <c r="C57" i="88"/>
  <c r="B57" i="88"/>
  <c r="E56" i="88"/>
  <c r="D56" i="88"/>
  <c r="F56" i="88" s="1"/>
  <c r="C56" i="88"/>
  <c r="B56" i="88"/>
  <c r="E55" i="88"/>
  <c r="D55" i="88"/>
  <c r="C55" i="88"/>
  <c r="B55" i="88"/>
  <c r="E54" i="88"/>
  <c r="D54" i="88"/>
  <c r="C54" i="88"/>
  <c r="B54" i="88"/>
  <c r="E53" i="88"/>
  <c r="D53" i="88"/>
  <c r="C53" i="88"/>
  <c r="B53" i="88"/>
  <c r="E52" i="88"/>
  <c r="D52" i="88"/>
  <c r="C52" i="88"/>
  <c r="B52" i="88"/>
  <c r="E51" i="88"/>
  <c r="D51" i="88"/>
  <c r="C51" i="88"/>
  <c r="B51" i="88"/>
  <c r="E50" i="88"/>
  <c r="D50" i="88"/>
  <c r="C50" i="88"/>
  <c r="B50" i="88"/>
  <c r="E49" i="88"/>
  <c r="D49" i="88"/>
  <c r="C49" i="88"/>
  <c r="B49" i="88"/>
  <c r="F49" i="88" s="1"/>
  <c r="E48" i="88"/>
  <c r="D48" i="88"/>
  <c r="C48" i="88"/>
  <c r="B48" i="88"/>
  <c r="E47" i="88"/>
  <c r="D47" i="88"/>
  <c r="C47" i="88"/>
  <c r="B47" i="88"/>
  <c r="E46" i="88"/>
  <c r="D46" i="88"/>
  <c r="C46" i="88"/>
  <c r="B46" i="88"/>
  <c r="E45" i="88"/>
  <c r="D45" i="88"/>
  <c r="C45" i="88"/>
  <c r="B45" i="88"/>
  <c r="E44" i="88"/>
  <c r="D44" i="88"/>
  <c r="C44" i="88"/>
  <c r="B44" i="88"/>
  <c r="E43" i="88"/>
  <c r="D43" i="88"/>
  <c r="C43" i="88"/>
  <c r="B43" i="88"/>
  <c r="E42" i="88"/>
  <c r="D42" i="88"/>
  <c r="C42" i="88"/>
  <c r="B42" i="88"/>
  <c r="E41" i="88"/>
  <c r="F41" i="88" s="1"/>
  <c r="D41" i="88"/>
  <c r="C41" i="88"/>
  <c r="B41" i="88"/>
  <c r="E40" i="88"/>
  <c r="D40" i="88"/>
  <c r="C40" i="88"/>
  <c r="B40" i="88"/>
  <c r="E39" i="88"/>
  <c r="D39" i="88"/>
  <c r="C39" i="88"/>
  <c r="B39" i="88"/>
  <c r="E38" i="88"/>
  <c r="D38" i="88"/>
  <c r="C38" i="88"/>
  <c r="B38" i="88"/>
  <c r="E37" i="88"/>
  <c r="D37" i="88"/>
  <c r="C37" i="88"/>
  <c r="B37" i="88"/>
  <c r="E36" i="88"/>
  <c r="D36" i="88"/>
  <c r="C36" i="88"/>
  <c r="B36" i="88"/>
  <c r="E35" i="88"/>
  <c r="D35" i="88"/>
  <c r="C35" i="88"/>
  <c r="B35" i="88"/>
  <c r="F35" i="88" s="1"/>
  <c r="E34" i="88"/>
  <c r="D34" i="88"/>
  <c r="C34" i="88"/>
  <c r="B34" i="88"/>
  <c r="E33" i="88"/>
  <c r="F33" i="88" s="1"/>
  <c r="D33" i="88"/>
  <c r="C33" i="88"/>
  <c r="B33" i="88"/>
  <c r="E32" i="88"/>
  <c r="D32" i="88"/>
  <c r="C32" i="88"/>
  <c r="B32" i="88"/>
  <c r="F32" i="88"/>
  <c r="E31" i="88"/>
  <c r="D31" i="88"/>
  <c r="C31" i="88"/>
  <c r="B31" i="88"/>
  <c r="F31" i="88" s="1"/>
  <c r="E30" i="88"/>
  <c r="D30" i="88"/>
  <c r="C30" i="88"/>
  <c r="B30" i="88"/>
  <c r="E29" i="88"/>
  <c r="D29" i="88"/>
  <c r="C29" i="88"/>
  <c r="B29" i="88"/>
  <c r="F29" i="88" s="1"/>
  <c r="E28" i="88"/>
  <c r="D28" i="88"/>
  <c r="C28" i="88"/>
  <c r="B28" i="88"/>
  <c r="F28" i="88" s="1"/>
  <c r="E27" i="88"/>
  <c r="D27" i="88"/>
  <c r="C27" i="88"/>
  <c r="B27" i="88"/>
  <c r="E26" i="88"/>
  <c r="D26" i="88"/>
  <c r="C26" i="88"/>
  <c r="B26" i="88"/>
  <c r="E25" i="88"/>
  <c r="D25" i="88"/>
  <c r="C25" i="88"/>
  <c r="B25" i="88"/>
  <c r="E24" i="88"/>
  <c r="D24" i="88"/>
  <c r="C24" i="88"/>
  <c r="F24" i="88" s="1"/>
  <c r="B24" i="88"/>
  <c r="E23" i="88"/>
  <c r="D23" i="88"/>
  <c r="C23" i="88"/>
  <c r="B23" i="88"/>
  <c r="E22" i="88"/>
  <c r="D22" i="88"/>
  <c r="C22" i="88"/>
  <c r="B22" i="88"/>
  <c r="E21" i="88"/>
  <c r="D21" i="88"/>
  <c r="C21" i="88"/>
  <c r="B21" i="88"/>
  <c r="E20" i="88"/>
  <c r="D20" i="88"/>
  <c r="C20" i="88"/>
  <c r="B20" i="88"/>
  <c r="E19" i="88"/>
  <c r="D19" i="88"/>
  <c r="F19" i="88" s="1"/>
  <c r="C19" i="88"/>
  <c r="B19" i="88"/>
  <c r="E18" i="88"/>
  <c r="D18" i="88"/>
  <c r="C18" i="88"/>
  <c r="B18" i="88"/>
  <c r="E17" i="88"/>
  <c r="D17" i="88"/>
  <c r="C17" i="88"/>
  <c r="B17" i="88"/>
  <c r="E16" i="88"/>
  <c r="D16" i="88"/>
  <c r="C16" i="88"/>
  <c r="B16" i="88"/>
  <c r="E15" i="88"/>
  <c r="D15" i="88"/>
  <c r="C15" i="88"/>
  <c r="B15" i="88"/>
  <c r="E14" i="88"/>
  <c r="D14" i="88"/>
  <c r="C14" i="88"/>
  <c r="B14" i="88"/>
  <c r="E13" i="88"/>
  <c r="D13" i="88"/>
  <c r="C13" i="88"/>
  <c r="B13" i="88"/>
  <c r="E12" i="88"/>
  <c r="D12" i="88"/>
  <c r="C12" i="88"/>
  <c r="B12" i="88"/>
  <c r="E11" i="88"/>
  <c r="D11" i="88"/>
  <c r="C11" i="88"/>
  <c r="B11" i="88"/>
  <c r="E10" i="88"/>
  <c r="D10" i="88"/>
  <c r="C10" i="88"/>
  <c r="B10" i="88"/>
  <c r="E9" i="88"/>
  <c r="D9" i="88"/>
  <c r="F9" i="88" s="1"/>
  <c r="C9" i="88"/>
  <c r="B9" i="88"/>
  <c r="E8" i="88"/>
  <c r="D8" i="88"/>
  <c r="C8" i="88"/>
  <c r="B8" i="88"/>
  <c r="E7" i="88"/>
  <c r="D7" i="88"/>
  <c r="F7" i="88" s="1"/>
  <c r="C7" i="88"/>
  <c r="B7" i="88"/>
  <c r="E6" i="88"/>
  <c r="D6" i="88"/>
  <c r="C6" i="88"/>
  <c r="B6" i="88"/>
  <c r="N110" i="83"/>
  <c r="I10" i="88"/>
  <c r="O106" i="83"/>
  <c r="F39" i="88"/>
  <c r="F13" i="88"/>
  <c r="E58" i="87"/>
  <c r="D58" i="87"/>
  <c r="C58" i="87"/>
  <c r="B58" i="87"/>
  <c r="E57" i="87"/>
  <c r="D57" i="87"/>
  <c r="C57" i="87"/>
  <c r="B57" i="87"/>
  <c r="E56" i="87"/>
  <c r="D56" i="87"/>
  <c r="C56" i="87"/>
  <c r="B56" i="87"/>
  <c r="E55" i="87"/>
  <c r="D55" i="87"/>
  <c r="C55" i="87"/>
  <c r="B55" i="87"/>
  <c r="E54" i="87"/>
  <c r="D54" i="87"/>
  <c r="C54" i="87"/>
  <c r="B54" i="87"/>
  <c r="E53" i="87"/>
  <c r="D53" i="87"/>
  <c r="C53" i="87"/>
  <c r="B53" i="87"/>
  <c r="E52" i="87"/>
  <c r="D52" i="87"/>
  <c r="C52" i="87"/>
  <c r="B52" i="87"/>
  <c r="E51" i="87"/>
  <c r="D51" i="87"/>
  <c r="C51" i="87"/>
  <c r="F51" i="87" s="1"/>
  <c r="B51" i="87"/>
  <c r="E50" i="87"/>
  <c r="D50" i="87"/>
  <c r="C50" i="87"/>
  <c r="B50" i="87"/>
  <c r="E49" i="87"/>
  <c r="D49" i="87"/>
  <c r="C49" i="87"/>
  <c r="B49" i="87"/>
  <c r="E48" i="87"/>
  <c r="D48" i="87"/>
  <c r="C48" i="87"/>
  <c r="B48" i="87"/>
  <c r="E47" i="87"/>
  <c r="D47" i="87"/>
  <c r="C47" i="87"/>
  <c r="B47" i="87"/>
  <c r="E46" i="87"/>
  <c r="D46" i="87"/>
  <c r="C46" i="87"/>
  <c r="F46" i="87" s="1"/>
  <c r="B46" i="87"/>
  <c r="E45" i="87"/>
  <c r="D45" i="87"/>
  <c r="C45" i="87"/>
  <c r="F45" i="87" s="1"/>
  <c r="B45" i="87"/>
  <c r="E44" i="87"/>
  <c r="D44" i="87"/>
  <c r="C44" i="87"/>
  <c r="F44" i="87" s="1"/>
  <c r="B44" i="87"/>
  <c r="E43" i="87"/>
  <c r="D43" i="87"/>
  <c r="C43" i="87"/>
  <c r="B43" i="87"/>
  <c r="E42" i="87"/>
  <c r="D42" i="87"/>
  <c r="C42" i="87"/>
  <c r="F42" i="87" s="1"/>
  <c r="B42" i="87"/>
  <c r="E41" i="87"/>
  <c r="D41" i="87"/>
  <c r="C41" i="87"/>
  <c r="B41" i="87"/>
  <c r="E40" i="87"/>
  <c r="D40" i="87"/>
  <c r="C40" i="87"/>
  <c r="B40" i="87"/>
  <c r="E39" i="87"/>
  <c r="D39" i="87"/>
  <c r="C39" i="87"/>
  <c r="B39" i="87"/>
  <c r="E38" i="87"/>
  <c r="D38" i="87"/>
  <c r="C38" i="87"/>
  <c r="B38" i="87"/>
  <c r="F38" i="87" s="1"/>
  <c r="E37" i="87"/>
  <c r="D37" i="87"/>
  <c r="C37" i="87"/>
  <c r="B37" i="87"/>
  <c r="E36" i="87"/>
  <c r="D36" i="87"/>
  <c r="C36" i="87"/>
  <c r="B36" i="87"/>
  <c r="E35" i="87"/>
  <c r="D35" i="87"/>
  <c r="C35" i="87"/>
  <c r="B35" i="87"/>
  <c r="E34" i="87"/>
  <c r="D34" i="87"/>
  <c r="C34" i="87"/>
  <c r="B34" i="87"/>
  <c r="E33" i="87"/>
  <c r="D33" i="87"/>
  <c r="C33" i="87"/>
  <c r="B33" i="87"/>
  <c r="E32" i="87"/>
  <c r="D32" i="87"/>
  <c r="C32" i="87"/>
  <c r="F32" i="87" s="1"/>
  <c r="B32" i="87"/>
  <c r="E31" i="87"/>
  <c r="D31" i="87"/>
  <c r="C31" i="87"/>
  <c r="B31" i="87"/>
  <c r="F31" i="87" s="1"/>
  <c r="E30" i="87"/>
  <c r="D30" i="87"/>
  <c r="C30" i="87"/>
  <c r="B30" i="87"/>
  <c r="E29" i="87"/>
  <c r="D29" i="87"/>
  <c r="C29" i="87"/>
  <c r="B29" i="87"/>
  <c r="E28" i="87"/>
  <c r="D28" i="87"/>
  <c r="C28" i="87"/>
  <c r="B28" i="87"/>
  <c r="E27" i="87"/>
  <c r="D27" i="87"/>
  <c r="C27" i="87"/>
  <c r="B27" i="87"/>
  <c r="F27" i="87" s="1"/>
  <c r="E26" i="87"/>
  <c r="D26" i="87"/>
  <c r="C26" i="87"/>
  <c r="B26" i="87"/>
  <c r="F26" i="87" s="1"/>
  <c r="E25" i="87"/>
  <c r="D25" i="87"/>
  <c r="C25" i="87"/>
  <c r="B25" i="87"/>
  <c r="E24" i="87"/>
  <c r="D24" i="87"/>
  <c r="C24" i="87"/>
  <c r="B24" i="87"/>
  <c r="E23" i="87"/>
  <c r="D23" i="87"/>
  <c r="C23" i="87"/>
  <c r="B23" i="87"/>
  <c r="E22" i="87"/>
  <c r="D22" i="87"/>
  <c r="C22" i="87"/>
  <c r="B22" i="87"/>
  <c r="E21" i="87"/>
  <c r="D21" i="87"/>
  <c r="C21" i="87"/>
  <c r="B21" i="87"/>
  <c r="F21" i="87" s="1"/>
  <c r="E20" i="87"/>
  <c r="D20" i="87"/>
  <c r="C20" i="87"/>
  <c r="B20" i="87"/>
  <c r="F20" i="87" s="1"/>
  <c r="E19" i="87"/>
  <c r="D19" i="87"/>
  <c r="C19" i="87"/>
  <c r="B19" i="87"/>
  <c r="E18" i="87"/>
  <c r="D18" i="87"/>
  <c r="C18" i="87"/>
  <c r="B18" i="87"/>
  <c r="E17" i="87"/>
  <c r="D17" i="87"/>
  <c r="C17" i="87"/>
  <c r="B17" i="87"/>
  <c r="F17" i="87" s="1"/>
  <c r="E16" i="87"/>
  <c r="D16" i="87"/>
  <c r="C16" i="87"/>
  <c r="B16" i="87"/>
  <c r="F16" i="87" s="1"/>
  <c r="E15" i="87"/>
  <c r="D15" i="87"/>
  <c r="C15" i="87"/>
  <c r="B15" i="87"/>
  <c r="E14" i="87"/>
  <c r="D14" i="87"/>
  <c r="C14" i="87"/>
  <c r="B14" i="87"/>
  <c r="F14" i="87" s="1"/>
  <c r="E13" i="87"/>
  <c r="D13" i="87"/>
  <c r="C13" i="87"/>
  <c r="F13" i="87" s="1"/>
  <c r="B13" i="87"/>
  <c r="E12" i="87"/>
  <c r="D12" i="87"/>
  <c r="C12" i="87"/>
  <c r="B12" i="87"/>
  <c r="E11" i="87"/>
  <c r="D11" i="87"/>
  <c r="C11" i="87"/>
  <c r="B11" i="87"/>
  <c r="E10" i="87"/>
  <c r="D10" i="87"/>
  <c r="C10" i="87"/>
  <c r="B10" i="87"/>
  <c r="E9" i="87"/>
  <c r="D9" i="87"/>
  <c r="C9" i="87"/>
  <c r="F9" i="87" s="1"/>
  <c r="B9" i="87"/>
  <c r="E8" i="87"/>
  <c r="D8" i="87"/>
  <c r="C8" i="87"/>
  <c r="B8" i="87"/>
  <c r="E7" i="87"/>
  <c r="D7" i="87"/>
  <c r="C7" i="87"/>
  <c r="F7" i="87" s="1"/>
  <c r="B7" i="87"/>
  <c r="E6" i="87"/>
  <c r="D6" i="87"/>
  <c r="C6" i="87"/>
  <c r="F6" i="87" s="1"/>
  <c r="B6" i="87"/>
  <c r="N98" i="83"/>
  <c r="H95" i="83"/>
  <c r="AB87" i="83"/>
  <c r="S83" i="83"/>
  <c r="I79" i="83"/>
  <c r="I29" i="87"/>
  <c r="O78" i="83"/>
  <c r="R72" i="83"/>
  <c r="K70" i="83"/>
  <c r="H67" i="83"/>
  <c r="X66" i="83"/>
  <c r="U63" i="83"/>
  <c r="H63" i="83"/>
  <c r="Y61" i="83"/>
  <c r="U59" i="83"/>
  <c r="H59" i="83"/>
  <c r="K58" i="83"/>
  <c r="Y57" i="83"/>
  <c r="R56" i="83"/>
  <c r="H55" i="83"/>
  <c r="F53" i="87"/>
  <c r="F47" i="87"/>
  <c r="F41" i="87"/>
  <c r="F25" i="87"/>
  <c r="F19" i="87"/>
  <c r="F11" i="87"/>
  <c r="D60" i="86"/>
  <c r="D65" i="86" s="1"/>
  <c r="E58" i="86"/>
  <c r="D58" i="86"/>
  <c r="C58" i="86"/>
  <c r="B58" i="86"/>
  <c r="E57" i="86"/>
  <c r="D57" i="86"/>
  <c r="C57" i="86"/>
  <c r="B57" i="86"/>
  <c r="F57" i="86" s="1"/>
  <c r="E56" i="86"/>
  <c r="D56" i="86"/>
  <c r="C56" i="86"/>
  <c r="B56" i="86"/>
  <c r="F56" i="86" s="1"/>
  <c r="E55" i="86"/>
  <c r="D55" i="86"/>
  <c r="C55" i="86"/>
  <c r="B55" i="86"/>
  <c r="F55" i="86" s="1"/>
  <c r="E54" i="86"/>
  <c r="D54" i="86"/>
  <c r="C54" i="86"/>
  <c r="B54" i="86"/>
  <c r="E53" i="86"/>
  <c r="D53" i="86"/>
  <c r="C53" i="86"/>
  <c r="B53" i="86"/>
  <c r="F53" i="86" s="1"/>
  <c r="E52" i="86"/>
  <c r="D52" i="86"/>
  <c r="C52" i="86"/>
  <c r="B52" i="86"/>
  <c r="F52" i="86" s="1"/>
  <c r="E51" i="86"/>
  <c r="D51" i="86"/>
  <c r="C51" i="86"/>
  <c r="B51" i="86"/>
  <c r="F51" i="86" s="1"/>
  <c r="E50" i="86"/>
  <c r="D50" i="86"/>
  <c r="C50" i="86"/>
  <c r="B50" i="86"/>
  <c r="E49" i="86"/>
  <c r="D49" i="86"/>
  <c r="C49" i="86"/>
  <c r="B49" i="86"/>
  <c r="F49" i="86" s="1"/>
  <c r="E48" i="86"/>
  <c r="D48" i="86"/>
  <c r="C48" i="86"/>
  <c r="B48" i="86"/>
  <c r="F48" i="86" s="1"/>
  <c r="E47" i="86"/>
  <c r="D47" i="86"/>
  <c r="C47" i="86"/>
  <c r="B47" i="86"/>
  <c r="F47" i="86" s="1"/>
  <c r="E46" i="86"/>
  <c r="D46" i="86"/>
  <c r="C46" i="86"/>
  <c r="B46" i="86"/>
  <c r="E45" i="86"/>
  <c r="D45" i="86"/>
  <c r="C45" i="86"/>
  <c r="B45" i="86"/>
  <c r="F45" i="86" s="1"/>
  <c r="E44" i="86"/>
  <c r="D44" i="86"/>
  <c r="C44" i="86"/>
  <c r="B44" i="86"/>
  <c r="F44" i="86" s="1"/>
  <c r="E43" i="86"/>
  <c r="D43" i="86"/>
  <c r="C43" i="86"/>
  <c r="B43" i="86"/>
  <c r="F43" i="86" s="1"/>
  <c r="E42" i="86"/>
  <c r="D42" i="86"/>
  <c r="C42" i="86"/>
  <c r="B42" i="86"/>
  <c r="E41" i="86"/>
  <c r="D41" i="86"/>
  <c r="C41" i="86"/>
  <c r="B41" i="86"/>
  <c r="F41" i="86" s="1"/>
  <c r="E40" i="86"/>
  <c r="D40" i="86"/>
  <c r="C40" i="86"/>
  <c r="B40" i="86"/>
  <c r="F40" i="86" s="1"/>
  <c r="E39" i="86"/>
  <c r="D39" i="86"/>
  <c r="C39" i="86"/>
  <c r="B39" i="86"/>
  <c r="F39" i="86" s="1"/>
  <c r="E38" i="86"/>
  <c r="D38" i="86"/>
  <c r="C38" i="86"/>
  <c r="B38" i="86"/>
  <c r="E37" i="86"/>
  <c r="D37" i="86"/>
  <c r="C37" i="86"/>
  <c r="B37" i="86"/>
  <c r="F37" i="86" s="1"/>
  <c r="E36" i="86"/>
  <c r="D36" i="86"/>
  <c r="C36" i="86"/>
  <c r="B36" i="86"/>
  <c r="F36" i="86" s="1"/>
  <c r="E35" i="86"/>
  <c r="D35" i="86"/>
  <c r="C35" i="86"/>
  <c r="B35" i="86"/>
  <c r="F35" i="86" s="1"/>
  <c r="E34" i="86"/>
  <c r="D34" i="86"/>
  <c r="C34" i="86"/>
  <c r="B34" i="86"/>
  <c r="E33" i="86"/>
  <c r="D33" i="86"/>
  <c r="C33" i="86"/>
  <c r="B33" i="86"/>
  <c r="F33" i="86" s="1"/>
  <c r="E32" i="86"/>
  <c r="D32" i="86"/>
  <c r="C32" i="86"/>
  <c r="B32" i="86"/>
  <c r="F32" i="86" s="1"/>
  <c r="E31" i="86"/>
  <c r="D31" i="86"/>
  <c r="C31" i="86"/>
  <c r="B31" i="86"/>
  <c r="F31" i="86" s="1"/>
  <c r="E30" i="86"/>
  <c r="D30" i="86"/>
  <c r="C30" i="86"/>
  <c r="B30" i="86"/>
  <c r="E29" i="86"/>
  <c r="D29" i="86"/>
  <c r="C29" i="86"/>
  <c r="B29" i="86"/>
  <c r="F29" i="86" s="1"/>
  <c r="E28" i="86"/>
  <c r="D28" i="86"/>
  <c r="C28" i="86"/>
  <c r="B28" i="86"/>
  <c r="F28" i="86" s="1"/>
  <c r="E27" i="86"/>
  <c r="D27" i="86"/>
  <c r="C27" i="86"/>
  <c r="B27" i="86"/>
  <c r="F27" i="86" s="1"/>
  <c r="E26" i="86"/>
  <c r="D26" i="86"/>
  <c r="C26" i="86"/>
  <c r="B26" i="86"/>
  <c r="E25" i="86"/>
  <c r="D25" i="86"/>
  <c r="C25" i="86"/>
  <c r="B25" i="86"/>
  <c r="F25" i="86" s="1"/>
  <c r="E24" i="86"/>
  <c r="D24" i="86"/>
  <c r="C24" i="86"/>
  <c r="B24" i="86"/>
  <c r="F24" i="86" s="1"/>
  <c r="E23" i="86"/>
  <c r="D23" i="86"/>
  <c r="C23" i="86"/>
  <c r="B23" i="86"/>
  <c r="F23" i="86" s="1"/>
  <c r="E22" i="86"/>
  <c r="D22" i="86"/>
  <c r="C22" i="86"/>
  <c r="B22" i="86"/>
  <c r="E21" i="86"/>
  <c r="D21" i="86"/>
  <c r="C21" i="86"/>
  <c r="B21" i="86"/>
  <c r="F21" i="86" s="1"/>
  <c r="E20" i="86"/>
  <c r="D20" i="86"/>
  <c r="C20" i="86"/>
  <c r="B20" i="86"/>
  <c r="F20" i="86" s="1"/>
  <c r="E19" i="86"/>
  <c r="D19" i="86"/>
  <c r="C19" i="86"/>
  <c r="B19" i="86"/>
  <c r="F19" i="86" s="1"/>
  <c r="E18" i="86"/>
  <c r="D18" i="86"/>
  <c r="C18" i="86"/>
  <c r="B18" i="86"/>
  <c r="F18" i="86" s="1"/>
  <c r="E17" i="86"/>
  <c r="D17" i="86"/>
  <c r="C17" i="86"/>
  <c r="B17" i="86"/>
  <c r="E16" i="86"/>
  <c r="D16" i="86"/>
  <c r="C16" i="86"/>
  <c r="B16" i="86"/>
  <c r="F16" i="86" s="1"/>
  <c r="E15" i="86"/>
  <c r="D15" i="86"/>
  <c r="C15" i="86"/>
  <c r="B15" i="86"/>
  <c r="F15" i="86" s="1"/>
  <c r="E14" i="86"/>
  <c r="D14" i="86"/>
  <c r="C14" i="86"/>
  <c r="B14" i="86"/>
  <c r="F14" i="86" s="1"/>
  <c r="E13" i="86"/>
  <c r="D13" i="86"/>
  <c r="C13" i="86"/>
  <c r="B13" i="86"/>
  <c r="F13" i="86" s="1"/>
  <c r="E12" i="86"/>
  <c r="D12" i="86"/>
  <c r="C12" i="86"/>
  <c r="B12" i="86"/>
  <c r="E11" i="86"/>
  <c r="D11" i="86"/>
  <c r="C11" i="86"/>
  <c r="B11" i="86"/>
  <c r="F11" i="86" s="1"/>
  <c r="E10" i="86"/>
  <c r="D10" i="86"/>
  <c r="C10" i="86"/>
  <c r="B10" i="86"/>
  <c r="F10" i="86" s="1"/>
  <c r="E9" i="86"/>
  <c r="D9" i="86"/>
  <c r="C9" i="86"/>
  <c r="B9" i="86"/>
  <c r="F9" i="86" s="1"/>
  <c r="E8" i="86"/>
  <c r="D8" i="86"/>
  <c r="C8" i="86"/>
  <c r="B8" i="86"/>
  <c r="F8" i="86" s="1"/>
  <c r="E7" i="86"/>
  <c r="D7" i="86"/>
  <c r="C7" i="86"/>
  <c r="B7" i="86"/>
  <c r="E6" i="86"/>
  <c r="E60" i="86" s="1"/>
  <c r="E65" i="86" s="1"/>
  <c r="D6" i="86"/>
  <c r="C6" i="86"/>
  <c r="C60" i="86" s="1"/>
  <c r="C65" i="86" s="1"/>
  <c r="B6" i="86"/>
  <c r="B60" i="86" s="1"/>
  <c r="B65" i="86" s="1"/>
  <c r="N51" i="83"/>
  <c r="I20" i="86"/>
  <c r="O46" i="83"/>
  <c r="Y44" i="83"/>
  <c r="S44" i="83"/>
  <c r="Y42" i="83"/>
  <c r="J41" i="83"/>
  <c r="R39" i="83"/>
  <c r="AB35" i="83"/>
  <c r="X35" i="83"/>
  <c r="Y34" i="83"/>
  <c r="S34" i="83"/>
  <c r="I34" i="83"/>
  <c r="AB33" i="83"/>
  <c r="I33" i="83"/>
  <c r="Y32" i="83"/>
  <c r="V32" i="83"/>
  <c r="R32" i="83"/>
  <c r="F58" i="86"/>
  <c r="F54" i="86"/>
  <c r="F50" i="86"/>
  <c r="F46" i="86"/>
  <c r="F42" i="86"/>
  <c r="F38" i="86"/>
  <c r="F34" i="86"/>
  <c r="F30" i="86"/>
  <c r="F26" i="86"/>
  <c r="F22" i="86"/>
  <c r="F17" i="86"/>
  <c r="F12" i="86"/>
  <c r="E58" i="85"/>
  <c r="D58" i="85"/>
  <c r="C58" i="85"/>
  <c r="B58" i="85"/>
  <c r="E57" i="85"/>
  <c r="D57" i="85"/>
  <c r="C57" i="85"/>
  <c r="B57" i="85"/>
  <c r="E56" i="85"/>
  <c r="D56" i="85"/>
  <c r="C56" i="85"/>
  <c r="B56" i="85"/>
  <c r="E55" i="85"/>
  <c r="D55" i="85"/>
  <c r="C55" i="85"/>
  <c r="B55" i="85"/>
  <c r="E54" i="85"/>
  <c r="D54" i="85"/>
  <c r="C54" i="85"/>
  <c r="B54" i="85"/>
  <c r="E53" i="85"/>
  <c r="D53" i="85"/>
  <c r="C53" i="85"/>
  <c r="B53" i="85"/>
  <c r="E52" i="85"/>
  <c r="D52" i="85"/>
  <c r="C52" i="85"/>
  <c r="B52" i="85"/>
  <c r="E51" i="85"/>
  <c r="D51" i="85"/>
  <c r="C51" i="85"/>
  <c r="B51" i="85"/>
  <c r="E50" i="85"/>
  <c r="D50" i="85"/>
  <c r="C50" i="85"/>
  <c r="B50" i="85"/>
  <c r="E49" i="85"/>
  <c r="D49" i="85"/>
  <c r="C49" i="85"/>
  <c r="B49" i="85"/>
  <c r="E48" i="85"/>
  <c r="D48" i="85"/>
  <c r="C48" i="85"/>
  <c r="B48" i="85"/>
  <c r="E47" i="85"/>
  <c r="D47" i="85"/>
  <c r="C47" i="85"/>
  <c r="B47" i="85"/>
  <c r="E46" i="85"/>
  <c r="D46" i="85"/>
  <c r="C46" i="85"/>
  <c r="B46" i="85"/>
  <c r="E45" i="85"/>
  <c r="D45" i="85"/>
  <c r="C45" i="85"/>
  <c r="B45" i="85"/>
  <c r="E44" i="85"/>
  <c r="D44" i="85"/>
  <c r="C44" i="85"/>
  <c r="B44" i="85"/>
  <c r="E43" i="85"/>
  <c r="D43" i="85"/>
  <c r="C43" i="85"/>
  <c r="B43" i="85"/>
  <c r="E42" i="85"/>
  <c r="D42" i="85"/>
  <c r="C42" i="85"/>
  <c r="B42" i="85"/>
  <c r="E41" i="85"/>
  <c r="D41" i="85"/>
  <c r="C41" i="85"/>
  <c r="B41" i="85"/>
  <c r="E40" i="85"/>
  <c r="D40" i="85"/>
  <c r="C40" i="85"/>
  <c r="B40" i="85"/>
  <c r="E39" i="85"/>
  <c r="D39" i="85"/>
  <c r="C39" i="85"/>
  <c r="B39" i="85"/>
  <c r="E38" i="85"/>
  <c r="D38" i="85"/>
  <c r="C38" i="85"/>
  <c r="B38" i="85"/>
  <c r="E37" i="85"/>
  <c r="D37" i="85"/>
  <c r="C37" i="85"/>
  <c r="B37" i="85"/>
  <c r="E36" i="85"/>
  <c r="D36" i="85"/>
  <c r="C36" i="85"/>
  <c r="B36" i="85"/>
  <c r="E35" i="85"/>
  <c r="D35" i="85"/>
  <c r="C35" i="85"/>
  <c r="B35" i="85"/>
  <c r="E34" i="85"/>
  <c r="D34" i="85"/>
  <c r="C34" i="85"/>
  <c r="B34" i="85"/>
  <c r="E33" i="85"/>
  <c r="D33" i="85"/>
  <c r="C33" i="85"/>
  <c r="B33" i="85"/>
  <c r="E32" i="85"/>
  <c r="D32" i="85"/>
  <c r="C32" i="85"/>
  <c r="F32" i="85" s="1"/>
  <c r="B32" i="85"/>
  <c r="E31" i="85"/>
  <c r="D31" i="85"/>
  <c r="C31" i="85"/>
  <c r="B31" i="85"/>
  <c r="E30" i="85"/>
  <c r="D30" i="85"/>
  <c r="C30" i="85"/>
  <c r="B30" i="85"/>
  <c r="E29" i="85"/>
  <c r="D29" i="85"/>
  <c r="C29" i="85"/>
  <c r="B29" i="85"/>
  <c r="E28" i="85"/>
  <c r="D28" i="85"/>
  <c r="C28" i="85"/>
  <c r="B28" i="85"/>
  <c r="E27" i="85"/>
  <c r="D27" i="85"/>
  <c r="C27" i="85"/>
  <c r="B27" i="85"/>
  <c r="E26" i="85"/>
  <c r="D26" i="85"/>
  <c r="C26" i="85"/>
  <c r="B26" i="85"/>
  <c r="E25" i="85"/>
  <c r="D25" i="85"/>
  <c r="C25" i="85"/>
  <c r="B25" i="85"/>
  <c r="E24" i="85"/>
  <c r="D24" i="85"/>
  <c r="C24" i="85"/>
  <c r="B24" i="85"/>
  <c r="E23" i="85"/>
  <c r="D23" i="85"/>
  <c r="C23" i="85"/>
  <c r="B23" i="85"/>
  <c r="E22" i="85"/>
  <c r="D22" i="85"/>
  <c r="C22" i="85"/>
  <c r="B22" i="85"/>
  <c r="E21" i="85"/>
  <c r="D21" i="85"/>
  <c r="C21" i="85"/>
  <c r="B21" i="85"/>
  <c r="E20" i="85"/>
  <c r="D20" i="85"/>
  <c r="C20" i="85"/>
  <c r="B20" i="85"/>
  <c r="E19" i="85"/>
  <c r="D19" i="85"/>
  <c r="C19" i="85"/>
  <c r="B19" i="85"/>
  <c r="E18" i="85"/>
  <c r="D18" i="85"/>
  <c r="C18" i="85"/>
  <c r="B18" i="85"/>
  <c r="E17" i="85"/>
  <c r="D17" i="85"/>
  <c r="C17" i="85"/>
  <c r="B17" i="85"/>
  <c r="E16" i="85"/>
  <c r="D16" i="85"/>
  <c r="C16" i="85"/>
  <c r="B16" i="85"/>
  <c r="E15" i="85"/>
  <c r="D15" i="85"/>
  <c r="C15" i="85"/>
  <c r="B15" i="85"/>
  <c r="E14" i="85"/>
  <c r="D14" i="85"/>
  <c r="C14" i="85"/>
  <c r="B14" i="85"/>
  <c r="E13" i="85"/>
  <c r="D13" i="85"/>
  <c r="C13" i="85"/>
  <c r="B13" i="85"/>
  <c r="E12" i="85"/>
  <c r="D12" i="85"/>
  <c r="C12" i="85"/>
  <c r="B12" i="85"/>
  <c r="E11" i="85"/>
  <c r="D11" i="85"/>
  <c r="C11" i="85"/>
  <c r="B11" i="85"/>
  <c r="E10" i="85"/>
  <c r="D10" i="85"/>
  <c r="C10" i="85"/>
  <c r="B10" i="85"/>
  <c r="E9" i="85"/>
  <c r="D9" i="85"/>
  <c r="C9" i="85"/>
  <c r="B9" i="85"/>
  <c r="E8" i="85"/>
  <c r="D8" i="85"/>
  <c r="C8" i="85"/>
  <c r="B8" i="85"/>
  <c r="E7" i="85"/>
  <c r="D7" i="85"/>
  <c r="C7" i="85"/>
  <c r="B7" i="85"/>
  <c r="E6" i="85"/>
  <c r="E60" i="85" s="1"/>
  <c r="E65" i="85" s="1"/>
  <c r="D6" i="85"/>
  <c r="D60" i="85" s="1"/>
  <c r="D65" i="85" s="1"/>
  <c r="C6" i="85"/>
  <c r="C60" i="85" s="1"/>
  <c r="C65" i="85" s="1"/>
  <c r="B6" i="85"/>
  <c r="N28" i="83"/>
  <c r="J26" i="83"/>
  <c r="J25" i="83"/>
  <c r="J24" i="83"/>
  <c r="J23" i="83"/>
  <c r="J22" i="83"/>
  <c r="J21" i="83"/>
  <c r="J20" i="83"/>
  <c r="J19" i="83"/>
  <c r="U18" i="83"/>
  <c r="J18" i="83"/>
  <c r="H18" i="83"/>
  <c r="U17" i="83"/>
  <c r="J17" i="83"/>
  <c r="J28" i="83" s="1"/>
  <c r="D69" i="85" s="1"/>
  <c r="H17" i="83"/>
  <c r="AA16" i="83"/>
  <c r="X16" i="83"/>
  <c r="U16" i="83"/>
  <c r="J16" i="83"/>
  <c r="H16" i="83"/>
  <c r="F43" i="85"/>
  <c r="F11" i="85"/>
  <c r="E58" i="84"/>
  <c r="D58" i="84"/>
  <c r="C58" i="84"/>
  <c r="B58" i="84"/>
  <c r="E57" i="84"/>
  <c r="D57" i="84"/>
  <c r="C57" i="84"/>
  <c r="B57" i="84"/>
  <c r="E56" i="84"/>
  <c r="D56" i="84"/>
  <c r="C56" i="84"/>
  <c r="B56" i="84"/>
  <c r="E55" i="84"/>
  <c r="D55" i="84"/>
  <c r="C55" i="84"/>
  <c r="B55" i="84"/>
  <c r="E54" i="84"/>
  <c r="D54" i="84"/>
  <c r="C54" i="84"/>
  <c r="B54" i="84"/>
  <c r="E53" i="84"/>
  <c r="D53" i="84"/>
  <c r="C53" i="84"/>
  <c r="B53" i="84"/>
  <c r="E52" i="84"/>
  <c r="D52" i="84"/>
  <c r="C52" i="84"/>
  <c r="B52" i="84"/>
  <c r="E51" i="84"/>
  <c r="D51" i="84"/>
  <c r="C51" i="84"/>
  <c r="B51" i="84"/>
  <c r="E50" i="84"/>
  <c r="D50" i="84"/>
  <c r="C50" i="84"/>
  <c r="B50" i="84"/>
  <c r="E49" i="84"/>
  <c r="D49" i="84"/>
  <c r="C49" i="84"/>
  <c r="B49" i="84"/>
  <c r="E48" i="84"/>
  <c r="D48" i="84"/>
  <c r="C48" i="84"/>
  <c r="B48" i="84"/>
  <c r="E47" i="84"/>
  <c r="D47" i="84"/>
  <c r="C47" i="84"/>
  <c r="B47" i="84"/>
  <c r="E46" i="84"/>
  <c r="D46" i="84"/>
  <c r="C46" i="84"/>
  <c r="B46" i="84"/>
  <c r="E45" i="84"/>
  <c r="D45" i="84"/>
  <c r="C45" i="84"/>
  <c r="B45" i="84"/>
  <c r="E44" i="84"/>
  <c r="D44" i="84"/>
  <c r="F44" i="84" s="1"/>
  <c r="C44" i="84"/>
  <c r="B44" i="84"/>
  <c r="E43" i="84"/>
  <c r="D43" i="84"/>
  <c r="C43" i="84"/>
  <c r="B43" i="84"/>
  <c r="E42" i="84"/>
  <c r="D42" i="84"/>
  <c r="C42" i="84"/>
  <c r="B42" i="84"/>
  <c r="E41" i="84"/>
  <c r="D41" i="84"/>
  <c r="C41" i="84"/>
  <c r="B41" i="84"/>
  <c r="E40" i="84"/>
  <c r="D40" i="84"/>
  <c r="C40" i="84"/>
  <c r="B40" i="84"/>
  <c r="E39" i="84"/>
  <c r="D39" i="84"/>
  <c r="C39" i="84"/>
  <c r="B39" i="84"/>
  <c r="E38" i="84"/>
  <c r="D38" i="84"/>
  <c r="C38" i="84"/>
  <c r="B38" i="84"/>
  <c r="E37" i="84"/>
  <c r="D37" i="84"/>
  <c r="F37" i="84" s="1"/>
  <c r="C37" i="84"/>
  <c r="B37" i="84"/>
  <c r="E36" i="84"/>
  <c r="D36" i="84"/>
  <c r="C36" i="84"/>
  <c r="B36" i="84"/>
  <c r="E35" i="84"/>
  <c r="D35" i="84"/>
  <c r="C35" i="84"/>
  <c r="B35" i="84"/>
  <c r="F35" i="84"/>
  <c r="E34" i="84"/>
  <c r="D34" i="84"/>
  <c r="C34" i="84"/>
  <c r="C34" i="89" s="1"/>
  <c r="B34" i="84"/>
  <c r="F34" i="84" s="1"/>
  <c r="E33" i="84"/>
  <c r="D33" i="84"/>
  <c r="D33" i="89" s="1"/>
  <c r="C33" i="84"/>
  <c r="C33" i="89" s="1"/>
  <c r="B33" i="84"/>
  <c r="E32" i="84"/>
  <c r="D32" i="84"/>
  <c r="C32" i="84"/>
  <c r="C32" i="89" s="1"/>
  <c r="B32" i="84"/>
  <c r="E31" i="84"/>
  <c r="E31" i="89" s="1"/>
  <c r="D31" i="84"/>
  <c r="C31" i="84"/>
  <c r="C31" i="89" s="1"/>
  <c r="B31" i="84"/>
  <c r="E30" i="84"/>
  <c r="E30" i="89" s="1"/>
  <c r="D30" i="84"/>
  <c r="C30" i="84"/>
  <c r="B30" i="84"/>
  <c r="E29" i="84"/>
  <c r="D29" i="84"/>
  <c r="C29" i="84"/>
  <c r="B29" i="84"/>
  <c r="E28" i="84"/>
  <c r="D28" i="84"/>
  <c r="C28" i="84"/>
  <c r="C28" i="89" s="1"/>
  <c r="B28" i="84"/>
  <c r="F28" i="84" s="1"/>
  <c r="E27" i="84"/>
  <c r="E27" i="89" s="1"/>
  <c r="D27" i="84"/>
  <c r="C27" i="84"/>
  <c r="C27" i="89" s="1"/>
  <c r="B27" i="84"/>
  <c r="F27" i="84" s="1"/>
  <c r="E26" i="84"/>
  <c r="E26" i="89" s="1"/>
  <c r="D26" i="84"/>
  <c r="C26" i="84"/>
  <c r="C26" i="89" s="1"/>
  <c r="B26" i="84"/>
  <c r="E25" i="84"/>
  <c r="E25" i="89" s="1"/>
  <c r="D25" i="84"/>
  <c r="C25" i="84"/>
  <c r="C25" i="89" s="1"/>
  <c r="B25" i="84"/>
  <c r="E24" i="84"/>
  <c r="E24" i="89" s="1"/>
  <c r="D24" i="84"/>
  <c r="C24" i="84"/>
  <c r="C24" i="89" s="1"/>
  <c r="B24" i="84"/>
  <c r="E23" i="84"/>
  <c r="D23" i="84"/>
  <c r="C23" i="84"/>
  <c r="C23" i="89" s="1"/>
  <c r="B23" i="84"/>
  <c r="E22" i="84"/>
  <c r="D22" i="84"/>
  <c r="C22" i="84"/>
  <c r="B22" i="84"/>
  <c r="E21" i="84"/>
  <c r="D21" i="84"/>
  <c r="C21" i="84"/>
  <c r="B21" i="84"/>
  <c r="E20" i="84"/>
  <c r="D20" i="84"/>
  <c r="C20" i="84"/>
  <c r="C20" i="89" s="1"/>
  <c r="B20" i="84"/>
  <c r="E19" i="84"/>
  <c r="D19" i="84"/>
  <c r="C19" i="84"/>
  <c r="B19" i="84"/>
  <c r="E18" i="84"/>
  <c r="D18" i="84"/>
  <c r="C18" i="84"/>
  <c r="C18" i="89" s="1"/>
  <c r="B18" i="84"/>
  <c r="E17" i="84"/>
  <c r="D17" i="84"/>
  <c r="C17" i="84"/>
  <c r="C17" i="89" s="1"/>
  <c r="B17" i="84"/>
  <c r="E16" i="84"/>
  <c r="D16" i="84"/>
  <c r="C16" i="84"/>
  <c r="C16" i="89" s="1"/>
  <c r="B16" i="84"/>
  <c r="E15" i="84"/>
  <c r="D15" i="84"/>
  <c r="C15" i="84"/>
  <c r="C15" i="89" s="1"/>
  <c r="B15" i="84"/>
  <c r="E14" i="84"/>
  <c r="D14" i="84"/>
  <c r="C14" i="84"/>
  <c r="C14" i="89" s="1"/>
  <c r="B14" i="84"/>
  <c r="E13" i="84"/>
  <c r="D13" i="84"/>
  <c r="C13" i="84"/>
  <c r="C13" i="89" s="1"/>
  <c r="B13" i="84"/>
  <c r="E12" i="84"/>
  <c r="D12" i="84"/>
  <c r="F12" i="84" s="1"/>
  <c r="C12" i="84"/>
  <c r="C12" i="89" s="1"/>
  <c r="B12" i="84"/>
  <c r="E11" i="84"/>
  <c r="D11" i="84"/>
  <c r="C11" i="84"/>
  <c r="B11" i="84"/>
  <c r="E10" i="84"/>
  <c r="D10" i="84"/>
  <c r="C10" i="84"/>
  <c r="B10" i="84"/>
  <c r="E9" i="84"/>
  <c r="D9" i="84"/>
  <c r="C9" i="84"/>
  <c r="B9" i="84"/>
  <c r="E8" i="84"/>
  <c r="D8" i="84"/>
  <c r="C8" i="84"/>
  <c r="B8" i="84"/>
  <c r="E7" i="84"/>
  <c r="D7" i="84"/>
  <c r="C7" i="84"/>
  <c r="B7" i="84"/>
  <c r="E6" i="84"/>
  <c r="D6" i="84"/>
  <c r="C6" i="84"/>
  <c r="B6" i="84"/>
  <c r="N12" i="83"/>
  <c r="I10" i="83"/>
  <c r="I9" i="83"/>
  <c r="AB8" i="83"/>
  <c r="Y8" i="83"/>
  <c r="V8" i="83"/>
  <c r="S8" i="83"/>
  <c r="I8" i="83"/>
  <c r="AB7" i="83"/>
  <c r="Y7" i="83"/>
  <c r="V7" i="83"/>
  <c r="S7" i="83"/>
  <c r="I7" i="83"/>
  <c r="F58" i="84"/>
  <c r="F36" i="84"/>
  <c r="F18" i="84"/>
  <c r="I26" i="82"/>
  <c r="U60" i="82"/>
  <c r="AB93" i="83" s="1"/>
  <c r="T60" i="82"/>
  <c r="AA93" i="83" s="1"/>
  <c r="R60" i="82"/>
  <c r="Y93" i="83" s="1"/>
  <c r="Q60" i="82"/>
  <c r="X93" i="83" s="1"/>
  <c r="O60" i="82"/>
  <c r="V93" i="83" s="1"/>
  <c r="N60" i="82"/>
  <c r="U93" i="83" s="1"/>
  <c r="L60" i="82"/>
  <c r="S93" i="83" s="1"/>
  <c r="K60" i="82"/>
  <c r="R93" i="83" s="1"/>
  <c r="E60" i="82"/>
  <c r="K93" i="83" s="1"/>
  <c r="D60" i="82"/>
  <c r="J93" i="83" s="1"/>
  <c r="C60" i="82"/>
  <c r="I93" i="83" s="1"/>
  <c r="B60" i="82"/>
  <c r="H93" i="83" s="1"/>
  <c r="F58" i="82"/>
  <c r="F57" i="82"/>
  <c r="F56" i="82"/>
  <c r="F55" i="82"/>
  <c r="F54" i="82"/>
  <c r="F53" i="82"/>
  <c r="F52" i="82"/>
  <c r="F51" i="82"/>
  <c r="F50" i="82"/>
  <c r="F49" i="82"/>
  <c r="F48" i="82"/>
  <c r="F47" i="82"/>
  <c r="F46" i="82"/>
  <c r="F45" i="82"/>
  <c r="F44" i="82"/>
  <c r="F43" i="82"/>
  <c r="F42" i="82"/>
  <c r="F41" i="82"/>
  <c r="F40" i="82"/>
  <c r="F39" i="82"/>
  <c r="F38" i="82"/>
  <c r="F37" i="82"/>
  <c r="F36" i="82"/>
  <c r="F35" i="82"/>
  <c r="F34" i="82"/>
  <c r="F33" i="82"/>
  <c r="F32" i="82"/>
  <c r="F31" i="82"/>
  <c r="F30" i="82"/>
  <c r="F29" i="82"/>
  <c r="F28" i="82"/>
  <c r="F27" i="82"/>
  <c r="F26" i="82"/>
  <c r="F25" i="82"/>
  <c r="F24" i="82"/>
  <c r="F23" i="82"/>
  <c r="F22" i="82"/>
  <c r="F21" i="82"/>
  <c r="F20" i="82"/>
  <c r="F19" i="82"/>
  <c r="F18" i="82"/>
  <c r="F17" i="82"/>
  <c r="F16" i="82"/>
  <c r="F15" i="82"/>
  <c r="F14" i="82"/>
  <c r="F13" i="82"/>
  <c r="F12" i="82"/>
  <c r="F11" i="82"/>
  <c r="F10" i="82"/>
  <c r="F9" i="82"/>
  <c r="F8" i="82"/>
  <c r="F7" i="82"/>
  <c r="F6" i="82"/>
  <c r="F60" i="82" s="1"/>
  <c r="I27" i="82" s="1"/>
  <c r="I26" i="81"/>
  <c r="U60" i="81"/>
  <c r="AB55" i="83" s="1"/>
  <c r="T60" i="81"/>
  <c r="AA55" i="83" s="1"/>
  <c r="R60" i="81"/>
  <c r="Y55" i="83" s="1"/>
  <c r="Q60" i="81"/>
  <c r="X55" i="83" s="1"/>
  <c r="O60" i="81"/>
  <c r="V55" i="83" s="1"/>
  <c r="N60" i="81"/>
  <c r="U55" i="83" s="1"/>
  <c r="L60" i="81"/>
  <c r="S55" i="83" s="1"/>
  <c r="K60" i="81"/>
  <c r="R55" i="83" s="1"/>
  <c r="E60" i="81"/>
  <c r="K55" i="83" s="1"/>
  <c r="D60" i="81"/>
  <c r="J55" i="83" s="1"/>
  <c r="C60" i="81"/>
  <c r="I55" i="83" s="1"/>
  <c r="B60" i="81"/>
  <c r="F58" i="81"/>
  <c r="F57" i="81"/>
  <c r="F56" i="81"/>
  <c r="F55" i="81"/>
  <c r="F54" i="81"/>
  <c r="F53" i="81"/>
  <c r="F52" i="81"/>
  <c r="F51" i="81"/>
  <c r="F50" i="81"/>
  <c r="F49" i="81"/>
  <c r="F48" i="81"/>
  <c r="F47" i="81"/>
  <c r="F46" i="81"/>
  <c r="F45" i="81"/>
  <c r="F44" i="81"/>
  <c r="F43" i="81"/>
  <c r="F42" i="81"/>
  <c r="F41" i="81"/>
  <c r="F40" i="81"/>
  <c r="F39" i="81"/>
  <c r="F38" i="81"/>
  <c r="F37" i="81"/>
  <c r="F36" i="81"/>
  <c r="F35" i="81"/>
  <c r="F34" i="81"/>
  <c r="F33" i="81"/>
  <c r="F32" i="81"/>
  <c r="F31" i="81"/>
  <c r="F30" i="81"/>
  <c r="F29" i="81"/>
  <c r="F28" i="81"/>
  <c r="F27" i="81"/>
  <c r="F26" i="81"/>
  <c r="F25" i="81"/>
  <c r="F24" i="81"/>
  <c r="F23" i="81"/>
  <c r="F22" i="81"/>
  <c r="F21" i="81"/>
  <c r="F20" i="81"/>
  <c r="F19" i="81"/>
  <c r="F18" i="81"/>
  <c r="F17" i="81"/>
  <c r="F16" i="81"/>
  <c r="F15" i="81"/>
  <c r="F14" i="81"/>
  <c r="F13" i="81"/>
  <c r="F12" i="81"/>
  <c r="F11" i="81"/>
  <c r="F10" i="81"/>
  <c r="F9" i="81"/>
  <c r="F8" i="81"/>
  <c r="F7" i="81"/>
  <c r="F6" i="81"/>
  <c r="I26" i="80"/>
  <c r="U60" i="80"/>
  <c r="AB56" i="83" s="1"/>
  <c r="T60" i="80"/>
  <c r="AA56" i="83" s="1"/>
  <c r="R60" i="80"/>
  <c r="Y56" i="83" s="1"/>
  <c r="Q60" i="80"/>
  <c r="X56" i="83" s="1"/>
  <c r="O60" i="80"/>
  <c r="V56" i="83" s="1"/>
  <c r="N60" i="80"/>
  <c r="U56" i="83" s="1"/>
  <c r="L60" i="80"/>
  <c r="S56" i="83" s="1"/>
  <c r="K60" i="80"/>
  <c r="E60" i="80"/>
  <c r="K56" i="83" s="1"/>
  <c r="D60" i="80"/>
  <c r="J56" i="83" s="1"/>
  <c r="C60" i="80"/>
  <c r="I56" i="83" s="1"/>
  <c r="B60" i="80"/>
  <c r="H56" i="83" s="1"/>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F13" i="80"/>
  <c r="F12" i="80"/>
  <c r="F11" i="80"/>
  <c r="F10" i="80"/>
  <c r="F9" i="80"/>
  <c r="F8" i="80"/>
  <c r="F7" i="80"/>
  <c r="F6" i="80"/>
  <c r="F60" i="80" s="1"/>
  <c r="I27" i="80" s="1"/>
  <c r="I26" i="79"/>
  <c r="U60" i="79"/>
  <c r="T60" i="79"/>
  <c r="AA7" i="83" s="1"/>
  <c r="R60" i="79"/>
  <c r="Q60" i="79"/>
  <c r="X7" i="83" s="1"/>
  <c r="O60" i="79"/>
  <c r="N60" i="79"/>
  <c r="U7" i="83" s="1"/>
  <c r="L60" i="79"/>
  <c r="K60" i="79"/>
  <c r="R7" i="83" s="1"/>
  <c r="E60" i="79"/>
  <c r="K7" i="83" s="1"/>
  <c r="D60" i="79"/>
  <c r="J7" i="83" s="1"/>
  <c r="C60" i="79"/>
  <c r="B60" i="79"/>
  <c r="H7" i="83" s="1"/>
  <c r="F58"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I26" i="78"/>
  <c r="U60" i="78"/>
  <c r="AB57" i="83" s="1"/>
  <c r="T60" i="78"/>
  <c r="AA57" i="83" s="1"/>
  <c r="R60" i="78"/>
  <c r="Q60" i="78"/>
  <c r="X57" i="83" s="1"/>
  <c r="O60" i="78"/>
  <c r="V57" i="83" s="1"/>
  <c r="N60" i="78"/>
  <c r="U57" i="83" s="1"/>
  <c r="L60" i="78"/>
  <c r="S57" i="83" s="1"/>
  <c r="K60" i="78"/>
  <c r="R57" i="83" s="1"/>
  <c r="E60" i="78"/>
  <c r="K57" i="83" s="1"/>
  <c r="D60" i="78"/>
  <c r="J57" i="83" s="1"/>
  <c r="C60" i="78"/>
  <c r="I57" i="83" s="1"/>
  <c r="B60" i="78"/>
  <c r="H57" i="83" s="1"/>
  <c r="F58" i="78"/>
  <c r="F57" i="78"/>
  <c r="F56" i="78"/>
  <c r="F55" i="78"/>
  <c r="F54" i="78"/>
  <c r="F53" i="78"/>
  <c r="F52" i="78"/>
  <c r="F51" i="78"/>
  <c r="F50" i="78"/>
  <c r="F49" i="78"/>
  <c r="F48" i="78"/>
  <c r="F47" i="78"/>
  <c r="F46" i="78"/>
  <c r="F45" i="78"/>
  <c r="F44" i="78"/>
  <c r="F43" i="78"/>
  <c r="F42" i="78"/>
  <c r="F41" i="78"/>
  <c r="F40" i="78"/>
  <c r="F39" i="78"/>
  <c r="F38" i="78"/>
  <c r="F37" i="78"/>
  <c r="F36" i="78"/>
  <c r="F35" i="78"/>
  <c r="F34" i="78"/>
  <c r="F33" i="78"/>
  <c r="F32" i="78"/>
  <c r="F31" i="78"/>
  <c r="F30" i="78"/>
  <c r="F29" i="78"/>
  <c r="F28" i="78"/>
  <c r="F27" i="78"/>
  <c r="F26" i="78"/>
  <c r="F25" i="78"/>
  <c r="F24" i="78"/>
  <c r="F23" i="78"/>
  <c r="F22" i="78"/>
  <c r="F21" i="78"/>
  <c r="F20" i="78"/>
  <c r="F19" i="78"/>
  <c r="F18" i="78"/>
  <c r="F17" i="78"/>
  <c r="F16" i="78"/>
  <c r="F15" i="78"/>
  <c r="F14" i="78"/>
  <c r="F13" i="78"/>
  <c r="F12" i="78"/>
  <c r="F11" i="78"/>
  <c r="F10" i="78"/>
  <c r="F9" i="78"/>
  <c r="F8" i="78"/>
  <c r="F7" i="78"/>
  <c r="F6" i="78"/>
  <c r="F60" i="78" s="1"/>
  <c r="I27" i="78" s="1"/>
  <c r="I26" i="77"/>
  <c r="U60" i="77"/>
  <c r="AB58" i="83" s="1"/>
  <c r="T60" i="77"/>
  <c r="AA58" i="83" s="1"/>
  <c r="R60" i="77"/>
  <c r="Y58" i="83" s="1"/>
  <c r="Q60" i="77"/>
  <c r="X58" i="83" s="1"/>
  <c r="O60" i="77"/>
  <c r="V58" i="83" s="1"/>
  <c r="N60" i="77"/>
  <c r="U58" i="83" s="1"/>
  <c r="L60" i="77"/>
  <c r="S58" i="83" s="1"/>
  <c r="K60" i="77"/>
  <c r="R58" i="83" s="1"/>
  <c r="E60" i="77"/>
  <c r="D60" i="77"/>
  <c r="J58" i="83" s="1"/>
  <c r="C60" i="77"/>
  <c r="I58" i="83" s="1"/>
  <c r="B60" i="77"/>
  <c r="H58" i="83" s="1"/>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I26" i="76"/>
  <c r="U60" i="76"/>
  <c r="AB59" i="83" s="1"/>
  <c r="T60" i="76"/>
  <c r="AA59" i="83" s="1"/>
  <c r="R60" i="76"/>
  <c r="Y59" i="83" s="1"/>
  <c r="Q60" i="76"/>
  <c r="X59" i="83" s="1"/>
  <c r="O60" i="76"/>
  <c r="V59" i="83" s="1"/>
  <c r="N60" i="76"/>
  <c r="L60" i="76"/>
  <c r="S59" i="83" s="1"/>
  <c r="K60" i="76"/>
  <c r="R59" i="83" s="1"/>
  <c r="E60" i="76"/>
  <c r="K59" i="83" s="1"/>
  <c r="D60" i="76"/>
  <c r="J59" i="83" s="1"/>
  <c r="C60" i="76"/>
  <c r="I59" i="83" s="1"/>
  <c r="B60" i="76"/>
  <c r="F58" i="76"/>
  <c r="F57" i="76"/>
  <c r="F56" i="76"/>
  <c r="F55" i="76"/>
  <c r="F54" i="76"/>
  <c r="F53" i="76"/>
  <c r="F52" i="76"/>
  <c r="F51" i="76"/>
  <c r="F50" i="76"/>
  <c r="F49" i="76"/>
  <c r="F48" i="76"/>
  <c r="F47" i="76"/>
  <c r="F46" i="76"/>
  <c r="F45" i="76"/>
  <c r="F44" i="76"/>
  <c r="F43" i="76"/>
  <c r="F42" i="76"/>
  <c r="F41" i="76"/>
  <c r="F40" i="76"/>
  <c r="F39" i="76"/>
  <c r="F38" i="76"/>
  <c r="F37" i="76"/>
  <c r="F36" i="76"/>
  <c r="F35" i="76"/>
  <c r="F34" i="76"/>
  <c r="F33" i="76"/>
  <c r="F32" i="76"/>
  <c r="F31" i="76"/>
  <c r="F30" i="76"/>
  <c r="F29" i="76"/>
  <c r="F28" i="76"/>
  <c r="F27" i="76"/>
  <c r="F26" i="76"/>
  <c r="F25" i="76"/>
  <c r="F24" i="76"/>
  <c r="F23" i="76"/>
  <c r="F22" i="76"/>
  <c r="F21" i="76"/>
  <c r="F20" i="76"/>
  <c r="F19" i="76"/>
  <c r="F18" i="76"/>
  <c r="F17" i="76"/>
  <c r="F16" i="76"/>
  <c r="F15" i="76"/>
  <c r="F14" i="76"/>
  <c r="F13" i="76"/>
  <c r="F12" i="76"/>
  <c r="F11" i="76"/>
  <c r="F10" i="76"/>
  <c r="F9" i="76"/>
  <c r="F8" i="76"/>
  <c r="F7" i="76"/>
  <c r="F6" i="76"/>
  <c r="F60" i="76" s="1"/>
  <c r="I27" i="76" s="1"/>
  <c r="I26" i="75"/>
  <c r="U60" i="75"/>
  <c r="T60" i="75"/>
  <c r="AA8" i="83" s="1"/>
  <c r="R60" i="75"/>
  <c r="Q60" i="75"/>
  <c r="X8" i="83" s="1"/>
  <c r="O60" i="75"/>
  <c r="N60" i="75"/>
  <c r="U8" i="83" s="1"/>
  <c r="L60" i="75"/>
  <c r="K60" i="75"/>
  <c r="R8" i="83" s="1"/>
  <c r="E60" i="75"/>
  <c r="K8" i="83" s="1"/>
  <c r="D60" i="75"/>
  <c r="J8" i="83" s="1"/>
  <c r="C60" i="75"/>
  <c r="B60" i="75"/>
  <c r="H8" i="83" s="1"/>
  <c r="F58" i="75"/>
  <c r="F57" i="75"/>
  <c r="F56" i="75"/>
  <c r="F55" i="75"/>
  <c r="F54" i="75"/>
  <c r="F53" i="75"/>
  <c r="F52" i="75"/>
  <c r="F51" i="75"/>
  <c r="F50" i="75"/>
  <c r="F49" i="75"/>
  <c r="F48" i="75"/>
  <c r="F47" i="75"/>
  <c r="F46" i="75"/>
  <c r="F45" i="75"/>
  <c r="F44" i="75"/>
  <c r="F43" i="75"/>
  <c r="F42" i="75"/>
  <c r="F41" i="75"/>
  <c r="F40" i="75"/>
  <c r="F39" i="75"/>
  <c r="F38" i="75"/>
  <c r="F37" i="75"/>
  <c r="F36" i="75"/>
  <c r="F35" i="75"/>
  <c r="F34" i="75"/>
  <c r="F33" i="75"/>
  <c r="F32" i="75"/>
  <c r="F31" i="75"/>
  <c r="F30" i="75"/>
  <c r="F29" i="75"/>
  <c r="F28" i="75"/>
  <c r="F27" i="75"/>
  <c r="F26" i="75"/>
  <c r="F25" i="75"/>
  <c r="F24" i="75"/>
  <c r="F23" i="75"/>
  <c r="F22" i="75"/>
  <c r="F21" i="75"/>
  <c r="F20" i="75"/>
  <c r="F19" i="75"/>
  <c r="F18" i="75"/>
  <c r="F17" i="75"/>
  <c r="F16" i="75"/>
  <c r="F15" i="75"/>
  <c r="F14" i="75"/>
  <c r="F13" i="75"/>
  <c r="F12" i="75"/>
  <c r="F11" i="75"/>
  <c r="F10" i="75"/>
  <c r="F9" i="75"/>
  <c r="F8" i="75"/>
  <c r="F7" i="75"/>
  <c r="F6" i="75"/>
  <c r="I26" i="74"/>
  <c r="U60" i="74"/>
  <c r="AB60" i="83" s="1"/>
  <c r="T60" i="74"/>
  <c r="AA60" i="83" s="1"/>
  <c r="R60" i="74"/>
  <c r="Y60" i="83" s="1"/>
  <c r="Q60" i="74"/>
  <c r="X60" i="83" s="1"/>
  <c r="O60" i="74"/>
  <c r="V60" i="83" s="1"/>
  <c r="N60" i="74"/>
  <c r="U60" i="83" s="1"/>
  <c r="L60" i="74"/>
  <c r="S60" i="83" s="1"/>
  <c r="K60" i="74"/>
  <c r="R60" i="83" s="1"/>
  <c r="E60" i="74"/>
  <c r="K60" i="83" s="1"/>
  <c r="D60" i="74"/>
  <c r="J60" i="83" s="1"/>
  <c r="C60" i="74"/>
  <c r="I60" i="83" s="1"/>
  <c r="B60" i="74"/>
  <c r="H60" i="83" s="1"/>
  <c r="F58" i="74"/>
  <c r="F57" i="74"/>
  <c r="F56" i="74"/>
  <c r="F55" i="74"/>
  <c r="F54" i="74"/>
  <c r="F53" i="74"/>
  <c r="F52" i="74"/>
  <c r="F51" i="74"/>
  <c r="F50" i="74"/>
  <c r="F49" i="74"/>
  <c r="F48" i="74"/>
  <c r="F47" i="74"/>
  <c r="F46" i="74"/>
  <c r="F45" i="74"/>
  <c r="F44" i="74"/>
  <c r="F43" i="74"/>
  <c r="F42" i="74"/>
  <c r="F41" i="74"/>
  <c r="F40" i="74"/>
  <c r="F39" i="74"/>
  <c r="F38" i="74"/>
  <c r="F37" i="74"/>
  <c r="F36" i="74"/>
  <c r="F35" i="74"/>
  <c r="F34" i="74"/>
  <c r="F33" i="74"/>
  <c r="F32" i="74"/>
  <c r="F31" i="74"/>
  <c r="F30" i="74"/>
  <c r="F29" i="74"/>
  <c r="F28" i="74"/>
  <c r="F27" i="74"/>
  <c r="F26" i="74"/>
  <c r="F25" i="74"/>
  <c r="F24" i="74"/>
  <c r="F23" i="74"/>
  <c r="F22" i="74"/>
  <c r="F21" i="74"/>
  <c r="F20" i="74"/>
  <c r="F19" i="74"/>
  <c r="F18" i="74"/>
  <c r="F17" i="74"/>
  <c r="F16" i="74"/>
  <c r="F15" i="74"/>
  <c r="F14" i="74"/>
  <c r="F13" i="74"/>
  <c r="F12" i="74"/>
  <c r="F11" i="74"/>
  <c r="F10" i="74"/>
  <c r="F9" i="74"/>
  <c r="F8" i="74"/>
  <c r="F7" i="74"/>
  <c r="F6" i="74"/>
  <c r="F60" i="74" s="1"/>
  <c r="I27" i="74" s="1"/>
  <c r="I26" i="73"/>
  <c r="U60" i="73"/>
  <c r="AB61" i="83" s="1"/>
  <c r="T60" i="73"/>
  <c r="AA61" i="83" s="1"/>
  <c r="R60" i="73"/>
  <c r="Q60" i="73"/>
  <c r="X61" i="83" s="1"/>
  <c r="O60" i="73"/>
  <c r="V61" i="83" s="1"/>
  <c r="N60" i="73"/>
  <c r="U61" i="83" s="1"/>
  <c r="L60" i="73"/>
  <c r="S61" i="83" s="1"/>
  <c r="K60" i="73"/>
  <c r="R61" i="83" s="1"/>
  <c r="E60" i="73"/>
  <c r="K61" i="83" s="1"/>
  <c r="D60" i="73"/>
  <c r="J61" i="83" s="1"/>
  <c r="C60" i="73"/>
  <c r="I61" i="83" s="1"/>
  <c r="B60" i="73"/>
  <c r="H61" i="83" s="1"/>
  <c r="F58" i="73"/>
  <c r="F57" i="73"/>
  <c r="F56" i="73"/>
  <c r="F55" i="73"/>
  <c r="F54" i="73"/>
  <c r="F53" i="73"/>
  <c r="F52" i="73"/>
  <c r="F51" i="73"/>
  <c r="F50" i="73"/>
  <c r="F49" i="73"/>
  <c r="F48" i="73"/>
  <c r="F47" i="73"/>
  <c r="F46" i="73"/>
  <c r="F45" i="73"/>
  <c r="F44" i="73"/>
  <c r="F43" i="73"/>
  <c r="F42" i="73"/>
  <c r="F41" i="73"/>
  <c r="F40" i="73"/>
  <c r="F39" i="73"/>
  <c r="F38" i="73"/>
  <c r="F37" i="73"/>
  <c r="F36" i="73"/>
  <c r="F35" i="73"/>
  <c r="F34" i="73"/>
  <c r="F33" i="73"/>
  <c r="F32" i="73"/>
  <c r="F31" i="73"/>
  <c r="F30" i="73"/>
  <c r="F29" i="73"/>
  <c r="F28" i="73"/>
  <c r="F27" i="73"/>
  <c r="F26" i="73"/>
  <c r="F25" i="73"/>
  <c r="F24" i="73"/>
  <c r="F23" i="73"/>
  <c r="F22" i="73"/>
  <c r="F21" i="73"/>
  <c r="F20" i="73"/>
  <c r="F19" i="73"/>
  <c r="F18" i="73"/>
  <c r="F17" i="73"/>
  <c r="F16" i="73"/>
  <c r="F15" i="73"/>
  <c r="F14" i="73"/>
  <c r="F13" i="73"/>
  <c r="F12" i="73"/>
  <c r="F11" i="73"/>
  <c r="F10" i="73"/>
  <c r="F9" i="73"/>
  <c r="F8" i="73"/>
  <c r="F7" i="73"/>
  <c r="F6" i="73"/>
  <c r="I26" i="72"/>
  <c r="U60" i="72"/>
  <c r="AB62" i="83" s="1"/>
  <c r="T60" i="72"/>
  <c r="AA62" i="83" s="1"/>
  <c r="R60" i="72"/>
  <c r="Y62" i="83" s="1"/>
  <c r="Q60" i="72"/>
  <c r="X62" i="83" s="1"/>
  <c r="O60" i="72"/>
  <c r="V62" i="83" s="1"/>
  <c r="N60" i="72"/>
  <c r="U62" i="83" s="1"/>
  <c r="L60" i="72"/>
  <c r="S62" i="83" s="1"/>
  <c r="K60" i="72"/>
  <c r="R62" i="83" s="1"/>
  <c r="E60" i="72"/>
  <c r="K62" i="83" s="1"/>
  <c r="D60" i="72"/>
  <c r="J62" i="83" s="1"/>
  <c r="C60" i="72"/>
  <c r="I62" i="83" s="1"/>
  <c r="B60" i="72"/>
  <c r="H62" i="83" s="1"/>
  <c r="F58" i="72"/>
  <c r="F57" i="72"/>
  <c r="F56" i="72"/>
  <c r="F55" i="72"/>
  <c r="F54" i="72"/>
  <c r="F53" i="72"/>
  <c r="F52" i="72"/>
  <c r="F51" i="72"/>
  <c r="F50" i="72"/>
  <c r="F49" i="72"/>
  <c r="F48" i="72"/>
  <c r="F47" i="72"/>
  <c r="F46" i="72"/>
  <c r="F45" i="72"/>
  <c r="F44" i="72"/>
  <c r="F43" i="72"/>
  <c r="F42" i="72"/>
  <c r="F41" i="72"/>
  <c r="F40" i="72"/>
  <c r="F39" i="72"/>
  <c r="F38" i="72"/>
  <c r="F37" i="72"/>
  <c r="F36" i="72"/>
  <c r="F35" i="72"/>
  <c r="F34" i="72"/>
  <c r="F33" i="72"/>
  <c r="F32" i="72"/>
  <c r="F31" i="72"/>
  <c r="F30" i="72"/>
  <c r="F29" i="72"/>
  <c r="F28" i="72"/>
  <c r="F27" i="72"/>
  <c r="F26" i="72"/>
  <c r="F25" i="72"/>
  <c r="F24" i="72"/>
  <c r="F23" i="72"/>
  <c r="F22" i="72"/>
  <c r="F21" i="72"/>
  <c r="F20" i="72"/>
  <c r="F19" i="72"/>
  <c r="F18" i="72"/>
  <c r="F17" i="72"/>
  <c r="F16" i="72"/>
  <c r="F15" i="72"/>
  <c r="F14" i="72"/>
  <c r="F13" i="72"/>
  <c r="F12" i="72"/>
  <c r="F11" i="72"/>
  <c r="F10" i="72"/>
  <c r="F9" i="72"/>
  <c r="F8" i="72"/>
  <c r="F7" i="72"/>
  <c r="F6" i="72"/>
  <c r="F60" i="72" s="1"/>
  <c r="I27" i="72" s="1"/>
  <c r="I26" i="71"/>
  <c r="U60" i="71"/>
  <c r="AB32" i="83" s="1"/>
  <c r="T60" i="71"/>
  <c r="AA32" i="83" s="1"/>
  <c r="R60" i="71"/>
  <c r="Q60" i="71"/>
  <c r="X32" i="83" s="1"/>
  <c r="O60" i="71"/>
  <c r="N60" i="71"/>
  <c r="U32" i="83" s="1"/>
  <c r="L60" i="71"/>
  <c r="S32" i="83" s="1"/>
  <c r="K60" i="71"/>
  <c r="E60" i="71"/>
  <c r="K32" i="83" s="1"/>
  <c r="D60" i="71"/>
  <c r="J32" i="83" s="1"/>
  <c r="C60" i="71"/>
  <c r="I32" i="83" s="1"/>
  <c r="B60" i="71"/>
  <c r="H32" i="83" s="1"/>
  <c r="F58" i="71"/>
  <c r="F57" i="71"/>
  <c r="F56" i="71"/>
  <c r="F55" i="71"/>
  <c r="F54" i="71"/>
  <c r="F53" i="71"/>
  <c r="F52" i="71"/>
  <c r="F51" i="71"/>
  <c r="F50" i="71"/>
  <c r="F49" i="71"/>
  <c r="F48" i="71"/>
  <c r="F47" i="71"/>
  <c r="F46" i="71"/>
  <c r="F45" i="71"/>
  <c r="F44" i="71"/>
  <c r="F43" i="71"/>
  <c r="F42" i="71"/>
  <c r="F41" i="71"/>
  <c r="F40" i="71"/>
  <c r="F39" i="71"/>
  <c r="F38" i="71"/>
  <c r="F37" i="71"/>
  <c r="F36" i="71"/>
  <c r="F35" i="71"/>
  <c r="F34" i="71"/>
  <c r="F33" i="71"/>
  <c r="F32" i="71"/>
  <c r="F31" i="71"/>
  <c r="F30" i="71"/>
  <c r="F29" i="71"/>
  <c r="F28" i="71"/>
  <c r="F27" i="71"/>
  <c r="F26" i="71"/>
  <c r="F25" i="71"/>
  <c r="F24" i="71"/>
  <c r="F23" i="71"/>
  <c r="F22" i="71"/>
  <c r="F21" i="71"/>
  <c r="F20" i="71"/>
  <c r="F19" i="71"/>
  <c r="F18" i="71"/>
  <c r="F17" i="71"/>
  <c r="F16" i="71"/>
  <c r="F15" i="71"/>
  <c r="F14" i="71"/>
  <c r="F13" i="71"/>
  <c r="F12" i="71"/>
  <c r="F11" i="71"/>
  <c r="F10" i="71"/>
  <c r="F9" i="71"/>
  <c r="F8" i="71"/>
  <c r="F7" i="71"/>
  <c r="F6" i="71"/>
  <c r="I26" i="70"/>
  <c r="U60" i="70"/>
  <c r="AB63" i="83" s="1"/>
  <c r="T60" i="70"/>
  <c r="AA63" i="83" s="1"/>
  <c r="R60" i="70"/>
  <c r="Y63" i="83" s="1"/>
  <c r="Q60" i="70"/>
  <c r="X63" i="83" s="1"/>
  <c r="O60" i="70"/>
  <c r="V63" i="83" s="1"/>
  <c r="N60" i="70"/>
  <c r="L60" i="70"/>
  <c r="S63" i="83" s="1"/>
  <c r="K60" i="70"/>
  <c r="R63" i="83" s="1"/>
  <c r="E60" i="70"/>
  <c r="K63" i="83" s="1"/>
  <c r="D60" i="70"/>
  <c r="J63" i="83" s="1"/>
  <c r="C60" i="70"/>
  <c r="I63" i="83" s="1"/>
  <c r="B60" i="70"/>
  <c r="F58" i="70"/>
  <c r="F57" i="70"/>
  <c r="F56" i="70"/>
  <c r="F55" i="70"/>
  <c r="F54" i="70"/>
  <c r="F53" i="70"/>
  <c r="F52" i="70"/>
  <c r="F51" i="70"/>
  <c r="F50" i="70"/>
  <c r="F49" i="70"/>
  <c r="F48" i="70"/>
  <c r="F47" i="70"/>
  <c r="F46" i="70"/>
  <c r="F45" i="70"/>
  <c r="F44" i="70"/>
  <c r="F43" i="70"/>
  <c r="F42" i="70"/>
  <c r="F41" i="70"/>
  <c r="F40" i="70"/>
  <c r="F39" i="70"/>
  <c r="F38" i="70"/>
  <c r="F37" i="70"/>
  <c r="F36" i="70"/>
  <c r="F35" i="70"/>
  <c r="F34" i="70"/>
  <c r="F33" i="70"/>
  <c r="F32" i="70"/>
  <c r="F31" i="70"/>
  <c r="F30" i="70"/>
  <c r="F29" i="70"/>
  <c r="F28" i="70"/>
  <c r="F27" i="70"/>
  <c r="F26" i="70"/>
  <c r="F25" i="70"/>
  <c r="F24" i="70"/>
  <c r="F23" i="70"/>
  <c r="F22" i="70"/>
  <c r="F21" i="70"/>
  <c r="F20" i="70"/>
  <c r="F19" i="70"/>
  <c r="F18" i="70"/>
  <c r="F17" i="70"/>
  <c r="F16" i="70"/>
  <c r="F15" i="70"/>
  <c r="F14" i="70"/>
  <c r="F13" i="70"/>
  <c r="F12" i="70"/>
  <c r="F11" i="70"/>
  <c r="F10" i="70"/>
  <c r="F9" i="70"/>
  <c r="F8" i="70"/>
  <c r="F7" i="70"/>
  <c r="F6" i="70"/>
  <c r="I26" i="69"/>
  <c r="U60" i="69"/>
  <c r="T60" i="69"/>
  <c r="AA33" i="83" s="1"/>
  <c r="R60" i="69"/>
  <c r="Y33" i="83" s="1"/>
  <c r="Q60" i="69"/>
  <c r="X33" i="83" s="1"/>
  <c r="O60" i="69"/>
  <c r="V33" i="83" s="1"/>
  <c r="N60" i="69"/>
  <c r="U33" i="83" s="1"/>
  <c r="L60" i="69"/>
  <c r="S33" i="83" s="1"/>
  <c r="K60" i="69"/>
  <c r="R33" i="83" s="1"/>
  <c r="E60" i="69"/>
  <c r="K33" i="83" s="1"/>
  <c r="D60" i="69"/>
  <c r="J33" i="83" s="1"/>
  <c r="C60" i="69"/>
  <c r="B60" i="69"/>
  <c r="H33" i="83" s="1"/>
  <c r="F58" i="69"/>
  <c r="F57" i="69"/>
  <c r="F56" i="69"/>
  <c r="F55" i="69"/>
  <c r="F54" i="69"/>
  <c r="F53" i="69"/>
  <c r="F52" i="69"/>
  <c r="F51" i="69"/>
  <c r="F50" i="69"/>
  <c r="F49" i="69"/>
  <c r="F48" i="69"/>
  <c r="F47" i="69"/>
  <c r="F46" i="69"/>
  <c r="F45" i="69"/>
  <c r="F44" i="69"/>
  <c r="F43" i="69"/>
  <c r="F42" i="69"/>
  <c r="F41" i="69"/>
  <c r="F40" i="69"/>
  <c r="F39" i="69"/>
  <c r="F38" i="69"/>
  <c r="F37" i="69"/>
  <c r="F36" i="69"/>
  <c r="F35" i="69"/>
  <c r="F34" i="69"/>
  <c r="F33" i="69"/>
  <c r="F32" i="69"/>
  <c r="F31" i="69"/>
  <c r="F30" i="69"/>
  <c r="F29" i="69"/>
  <c r="F28" i="69"/>
  <c r="F27" i="69"/>
  <c r="F26" i="69"/>
  <c r="F25" i="69"/>
  <c r="F24" i="69"/>
  <c r="F23" i="69"/>
  <c r="F22" i="69"/>
  <c r="F21" i="69"/>
  <c r="F20" i="69"/>
  <c r="F19" i="69"/>
  <c r="F18" i="69"/>
  <c r="F17" i="69"/>
  <c r="F16" i="69"/>
  <c r="F15" i="69"/>
  <c r="F14" i="69"/>
  <c r="F13" i="69"/>
  <c r="F12" i="69"/>
  <c r="F11" i="69"/>
  <c r="F10" i="69"/>
  <c r="F9" i="69"/>
  <c r="F8" i="69"/>
  <c r="F7" i="69"/>
  <c r="F6" i="69"/>
  <c r="F60" i="69" s="1"/>
  <c r="I27" i="69" s="1"/>
  <c r="I26" i="68"/>
  <c r="U60" i="68"/>
  <c r="AB16" i="83" s="1"/>
  <c r="T60" i="68"/>
  <c r="R60" i="68"/>
  <c r="Y16" i="83" s="1"/>
  <c r="Q60" i="68"/>
  <c r="O60" i="68"/>
  <c r="V16" i="83" s="1"/>
  <c r="N60" i="68"/>
  <c r="L60" i="68"/>
  <c r="S16" i="83" s="1"/>
  <c r="K60" i="68"/>
  <c r="R16" i="83" s="1"/>
  <c r="E60" i="68"/>
  <c r="K16" i="83" s="1"/>
  <c r="D60" i="68"/>
  <c r="C60" i="68"/>
  <c r="I16" i="83" s="1"/>
  <c r="B60" i="68"/>
  <c r="F58" i="68"/>
  <c r="F57" i="68"/>
  <c r="F56" i="68"/>
  <c r="F55" i="68"/>
  <c r="F54" i="68"/>
  <c r="F53" i="68"/>
  <c r="F52" i="68"/>
  <c r="F51" i="68"/>
  <c r="F50" i="68"/>
  <c r="F49" i="68"/>
  <c r="F48" i="68"/>
  <c r="F47" i="68"/>
  <c r="F46" i="68"/>
  <c r="F45" i="68"/>
  <c r="F44" i="68"/>
  <c r="F43" i="68"/>
  <c r="F42" i="68"/>
  <c r="F41" i="68"/>
  <c r="F40" i="68"/>
  <c r="F39" i="68"/>
  <c r="F38" i="68"/>
  <c r="F37" i="68"/>
  <c r="F36" i="68"/>
  <c r="F35" i="68"/>
  <c r="F34" i="68"/>
  <c r="F33" i="68"/>
  <c r="F32" i="68"/>
  <c r="F31" i="68"/>
  <c r="F30" i="68"/>
  <c r="F29" i="68"/>
  <c r="F28" i="68"/>
  <c r="F27" i="68"/>
  <c r="F26" i="68"/>
  <c r="F25" i="68"/>
  <c r="F24" i="68"/>
  <c r="F23" i="68"/>
  <c r="F22" i="68"/>
  <c r="F21" i="68"/>
  <c r="F20" i="68"/>
  <c r="F19" i="68"/>
  <c r="F18" i="68"/>
  <c r="F17" i="68"/>
  <c r="F16" i="68"/>
  <c r="F15" i="68"/>
  <c r="F14" i="68"/>
  <c r="F13" i="68"/>
  <c r="F12" i="68"/>
  <c r="F11" i="68"/>
  <c r="F10" i="68"/>
  <c r="F9" i="68"/>
  <c r="F8" i="68"/>
  <c r="F7" i="68"/>
  <c r="F6" i="68"/>
  <c r="I26" i="67"/>
  <c r="U60" i="67"/>
  <c r="AB34" i="83" s="1"/>
  <c r="T60" i="67"/>
  <c r="AA34" i="83" s="1"/>
  <c r="R60" i="67"/>
  <c r="Q60" i="67"/>
  <c r="X34" i="83" s="1"/>
  <c r="O60" i="67"/>
  <c r="V34" i="83" s="1"/>
  <c r="N60" i="67"/>
  <c r="U34" i="83" s="1"/>
  <c r="L60" i="67"/>
  <c r="K60" i="67"/>
  <c r="R34" i="83" s="1"/>
  <c r="E60" i="67"/>
  <c r="K34" i="83" s="1"/>
  <c r="D60" i="67"/>
  <c r="J34" i="83" s="1"/>
  <c r="C60" i="67"/>
  <c r="B60" i="67"/>
  <c r="H34" i="83" s="1"/>
  <c r="F58" i="67"/>
  <c r="F57" i="67"/>
  <c r="F56" i="67"/>
  <c r="F55" i="67"/>
  <c r="F54" i="67"/>
  <c r="F53" i="67"/>
  <c r="F52" i="67"/>
  <c r="F51" i="67"/>
  <c r="F50" i="67"/>
  <c r="F49" i="67"/>
  <c r="F48" i="67"/>
  <c r="F47" i="67"/>
  <c r="F46" i="67"/>
  <c r="F45" i="67"/>
  <c r="F44" i="67"/>
  <c r="F43" i="67"/>
  <c r="F42" i="67"/>
  <c r="F41" i="67"/>
  <c r="F40" i="67"/>
  <c r="F39" i="67"/>
  <c r="F38" i="67"/>
  <c r="F37" i="67"/>
  <c r="F36" i="67"/>
  <c r="F35" i="67"/>
  <c r="F34" i="67"/>
  <c r="F33" i="67"/>
  <c r="F32" i="67"/>
  <c r="F31" i="67"/>
  <c r="F30" i="67"/>
  <c r="F29" i="67"/>
  <c r="F28" i="67"/>
  <c r="F27" i="67"/>
  <c r="F26" i="67"/>
  <c r="F25" i="67"/>
  <c r="F24" i="67"/>
  <c r="F23" i="67"/>
  <c r="F22" i="67"/>
  <c r="F21" i="67"/>
  <c r="F20" i="67"/>
  <c r="F19" i="67"/>
  <c r="F18" i="67"/>
  <c r="F17" i="67"/>
  <c r="F16" i="67"/>
  <c r="F15" i="67"/>
  <c r="F14" i="67"/>
  <c r="F13" i="67"/>
  <c r="F12" i="67"/>
  <c r="F11" i="67"/>
  <c r="F10" i="67"/>
  <c r="F9" i="67"/>
  <c r="F8" i="67"/>
  <c r="F7" i="67"/>
  <c r="F6" i="67"/>
  <c r="F60" i="67" s="1"/>
  <c r="I27" i="67" s="1"/>
  <c r="I26" i="66"/>
  <c r="U60" i="66"/>
  <c r="AB64" i="83" s="1"/>
  <c r="T60" i="66"/>
  <c r="AA64" i="83" s="1"/>
  <c r="R60" i="66"/>
  <c r="Y64" i="83" s="1"/>
  <c r="Q60" i="66"/>
  <c r="X64" i="83" s="1"/>
  <c r="O60" i="66"/>
  <c r="V64" i="83" s="1"/>
  <c r="N60" i="66"/>
  <c r="U64" i="83" s="1"/>
  <c r="L60" i="66"/>
  <c r="S64" i="83" s="1"/>
  <c r="K60" i="66"/>
  <c r="R64" i="83" s="1"/>
  <c r="E60" i="66"/>
  <c r="K64" i="83" s="1"/>
  <c r="D60" i="66"/>
  <c r="J64" i="83" s="1"/>
  <c r="C60" i="66"/>
  <c r="I64" i="83" s="1"/>
  <c r="B60" i="66"/>
  <c r="H64" i="83" s="1"/>
  <c r="F58" i="66"/>
  <c r="F57" i="66"/>
  <c r="F56" i="66"/>
  <c r="F55" i="66"/>
  <c r="F54" i="66"/>
  <c r="F53" i="66"/>
  <c r="F52" i="66"/>
  <c r="F51" i="66"/>
  <c r="F50" i="66"/>
  <c r="F49" i="66"/>
  <c r="F48" i="66"/>
  <c r="F47" i="66"/>
  <c r="F46" i="66"/>
  <c r="F45" i="66"/>
  <c r="F44" i="66"/>
  <c r="F43" i="66"/>
  <c r="F42" i="66"/>
  <c r="F41" i="66"/>
  <c r="F40" i="66"/>
  <c r="F39" i="66"/>
  <c r="F38" i="66"/>
  <c r="F37" i="66"/>
  <c r="F36" i="66"/>
  <c r="F35" i="66"/>
  <c r="F34" i="66"/>
  <c r="F33" i="66"/>
  <c r="F32" i="66"/>
  <c r="F31" i="66"/>
  <c r="F30" i="66"/>
  <c r="F29" i="66"/>
  <c r="F28" i="66"/>
  <c r="F27" i="66"/>
  <c r="F26" i="66"/>
  <c r="F25" i="66"/>
  <c r="F24" i="66"/>
  <c r="F23" i="66"/>
  <c r="F22" i="66"/>
  <c r="F21" i="66"/>
  <c r="F20" i="66"/>
  <c r="F19" i="66"/>
  <c r="F18" i="66"/>
  <c r="F17" i="66"/>
  <c r="F16" i="66"/>
  <c r="F15" i="66"/>
  <c r="F14" i="66"/>
  <c r="F13" i="66"/>
  <c r="F12" i="66"/>
  <c r="F11" i="66"/>
  <c r="F10" i="66"/>
  <c r="F9" i="66"/>
  <c r="F8" i="66"/>
  <c r="F7" i="66"/>
  <c r="F6" i="66"/>
  <c r="I26" i="65"/>
  <c r="U60" i="65"/>
  <c r="AB102" i="83" s="1"/>
  <c r="T60" i="65"/>
  <c r="AA102" i="83" s="1"/>
  <c r="R60" i="65"/>
  <c r="Y102" i="83" s="1"/>
  <c r="Q60" i="65"/>
  <c r="X102" i="83" s="1"/>
  <c r="O60" i="65"/>
  <c r="V102" i="83" s="1"/>
  <c r="N60" i="65"/>
  <c r="U102" i="83" s="1"/>
  <c r="L60" i="65"/>
  <c r="S102" i="83" s="1"/>
  <c r="K60" i="65"/>
  <c r="R102" i="83" s="1"/>
  <c r="E60" i="65"/>
  <c r="D60" i="65"/>
  <c r="C60" i="65"/>
  <c r="B60" i="65"/>
  <c r="F58" i="65"/>
  <c r="F57" i="65"/>
  <c r="F56" i="65"/>
  <c r="F55" i="65"/>
  <c r="F54" i="65"/>
  <c r="F53" i="65"/>
  <c r="F52" i="65"/>
  <c r="F51" i="65"/>
  <c r="F50" i="65"/>
  <c r="F49" i="65"/>
  <c r="F48" i="65"/>
  <c r="F47" i="65"/>
  <c r="F46" i="65"/>
  <c r="F45" i="65"/>
  <c r="F44" i="65"/>
  <c r="F43" i="65"/>
  <c r="F42" i="65"/>
  <c r="F41" i="65"/>
  <c r="F40" i="65"/>
  <c r="F39" i="65"/>
  <c r="F38" i="65"/>
  <c r="F37" i="65"/>
  <c r="F36" i="65"/>
  <c r="F35" i="65"/>
  <c r="F34" i="65"/>
  <c r="F33" i="65"/>
  <c r="F32" i="65"/>
  <c r="F31" i="65"/>
  <c r="F30" i="65"/>
  <c r="F29" i="65"/>
  <c r="F28" i="65"/>
  <c r="F27" i="65"/>
  <c r="F26" i="65"/>
  <c r="F25" i="65"/>
  <c r="F24" i="65"/>
  <c r="F23" i="65"/>
  <c r="F22" i="65"/>
  <c r="F21" i="65"/>
  <c r="F20" i="65"/>
  <c r="F19" i="65"/>
  <c r="F18" i="65"/>
  <c r="F17" i="65"/>
  <c r="F16" i="65"/>
  <c r="F15" i="65"/>
  <c r="F14" i="65"/>
  <c r="F13" i="65"/>
  <c r="F12" i="65"/>
  <c r="F11" i="65"/>
  <c r="F10" i="65"/>
  <c r="F9" i="65"/>
  <c r="F8" i="65"/>
  <c r="F7" i="65"/>
  <c r="F6" i="65"/>
  <c r="I26" i="64"/>
  <c r="U60" i="64"/>
  <c r="AB65" i="83" s="1"/>
  <c r="T60" i="64"/>
  <c r="AA65" i="83" s="1"/>
  <c r="R60" i="64"/>
  <c r="Y65" i="83" s="1"/>
  <c r="Q60" i="64"/>
  <c r="X65" i="83" s="1"/>
  <c r="O60" i="64"/>
  <c r="V65" i="83" s="1"/>
  <c r="N60" i="64"/>
  <c r="U65" i="83" s="1"/>
  <c r="L60" i="64"/>
  <c r="S65" i="83" s="1"/>
  <c r="K60" i="64"/>
  <c r="R65" i="83" s="1"/>
  <c r="E60" i="64"/>
  <c r="K65" i="83" s="1"/>
  <c r="D60" i="64"/>
  <c r="J65" i="83" s="1"/>
  <c r="C60" i="64"/>
  <c r="I65" i="83" s="1"/>
  <c r="B60" i="64"/>
  <c r="H65" i="83" s="1"/>
  <c r="F58" i="64"/>
  <c r="F57" i="64"/>
  <c r="F56" i="64"/>
  <c r="F55" i="64"/>
  <c r="F54" i="64"/>
  <c r="F53" i="64"/>
  <c r="F52" i="64"/>
  <c r="F51" i="64"/>
  <c r="F50" i="64"/>
  <c r="F49" i="64"/>
  <c r="F48" i="64"/>
  <c r="F47" i="64"/>
  <c r="F46" i="64"/>
  <c r="F45" i="64"/>
  <c r="F44" i="64"/>
  <c r="F43" i="64"/>
  <c r="F42" i="64"/>
  <c r="F41" i="64"/>
  <c r="F40" i="64"/>
  <c r="F39" i="64"/>
  <c r="F38" i="64"/>
  <c r="F37" i="64"/>
  <c r="F36" i="64"/>
  <c r="F35" i="64"/>
  <c r="F34" i="64"/>
  <c r="F33" i="64"/>
  <c r="F32" i="64"/>
  <c r="F31" i="64"/>
  <c r="F30" i="64"/>
  <c r="F29" i="64"/>
  <c r="F28" i="64"/>
  <c r="F27" i="64"/>
  <c r="F26" i="64"/>
  <c r="F25" i="64"/>
  <c r="F24" i="64"/>
  <c r="F23" i="64"/>
  <c r="F22" i="64"/>
  <c r="F21" i="64"/>
  <c r="F20" i="64"/>
  <c r="F19" i="64"/>
  <c r="F18" i="64"/>
  <c r="F17" i="64"/>
  <c r="F16" i="64"/>
  <c r="F15" i="64"/>
  <c r="F14" i="64"/>
  <c r="F13" i="64"/>
  <c r="F12" i="64"/>
  <c r="F11" i="64"/>
  <c r="F10" i="64"/>
  <c r="F9" i="64"/>
  <c r="F8" i="64"/>
  <c r="F7" i="64"/>
  <c r="F6" i="64"/>
  <c r="I26" i="63"/>
  <c r="U60" i="63"/>
  <c r="AB66" i="83" s="1"/>
  <c r="T60" i="63"/>
  <c r="AA66" i="83" s="1"/>
  <c r="R60" i="63"/>
  <c r="Y66" i="83" s="1"/>
  <c r="Q60" i="63"/>
  <c r="O60" i="63"/>
  <c r="V66" i="83" s="1"/>
  <c r="N60" i="63"/>
  <c r="U66" i="83" s="1"/>
  <c r="L60" i="63"/>
  <c r="S66" i="83" s="1"/>
  <c r="K60" i="63"/>
  <c r="R66" i="83" s="1"/>
  <c r="E60" i="63"/>
  <c r="K66" i="83" s="1"/>
  <c r="D60" i="63"/>
  <c r="J66" i="83" s="1"/>
  <c r="C60" i="63"/>
  <c r="I66" i="83" s="1"/>
  <c r="B60" i="63"/>
  <c r="H66" i="83" s="1"/>
  <c r="F58" i="63"/>
  <c r="F57" i="63"/>
  <c r="F56" i="63"/>
  <c r="F55" i="63"/>
  <c r="F54" i="63"/>
  <c r="F53" i="63"/>
  <c r="F52" i="63"/>
  <c r="F51" i="63"/>
  <c r="F50" i="63"/>
  <c r="F49" i="63"/>
  <c r="F48" i="63"/>
  <c r="F47" i="63"/>
  <c r="F46" i="63"/>
  <c r="F45" i="63"/>
  <c r="F44" i="63"/>
  <c r="F43" i="63"/>
  <c r="F42" i="63"/>
  <c r="F41" i="63"/>
  <c r="F40" i="63"/>
  <c r="F39" i="63"/>
  <c r="F38" i="63"/>
  <c r="F37" i="63"/>
  <c r="F36" i="63"/>
  <c r="F35" i="63"/>
  <c r="F34" i="63"/>
  <c r="F33" i="63"/>
  <c r="F32" i="63"/>
  <c r="F31" i="63"/>
  <c r="F30" i="63"/>
  <c r="F29" i="63"/>
  <c r="F28" i="63"/>
  <c r="F27" i="63"/>
  <c r="F26" i="63"/>
  <c r="F25" i="63"/>
  <c r="F24" i="63"/>
  <c r="F23" i="63"/>
  <c r="F22" i="63"/>
  <c r="F21" i="63"/>
  <c r="F20" i="63"/>
  <c r="F19" i="63"/>
  <c r="F18" i="63"/>
  <c r="F17" i="63"/>
  <c r="F16" i="63"/>
  <c r="F15" i="63"/>
  <c r="F14" i="63"/>
  <c r="F13" i="63"/>
  <c r="F12" i="63"/>
  <c r="F11" i="63"/>
  <c r="F10" i="63"/>
  <c r="F9" i="63"/>
  <c r="F8" i="63"/>
  <c r="F7" i="63"/>
  <c r="F6" i="63"/>
  <c r="I26" i="62"/>
  <c r="U60" i="62"/>
  <c r="AB67" i="83" s="1"/>
  <c r="T60" i="62"/>
  <c r="AA67" i="83" s="1"/>
  <c r="R60" i="62"/>
  <c r="Y67" i="83" s="1"/>
  <c r="Q60" i="62"/>
  <c r="X67" i="83" s="1"/>
  <c r="O60" i="62"/>
  <c r="V67" i="83" s="1"/>
  <c r="N60" i="62"/>
  <c r="U67" i="83" s="1"/>
  <c r="L60" i="62"/>
  <c r="S67" i="83" s="1"/>
  <c r="K60" i="62"/>
  <c r="R67" i="83" s="1"/>
  <c r="E60" i="62"/>
  <c r="K67" i="83" s="1"/>
  <c r="D60" i="62"/>
  <c r="J67" i="83" s="1"/>
  <c r="C60" i="62"/>
  <c r="I67" i="83" s="1"/>
  <c r="B60" i="62"/>
  <c r="F58" i="62"/>
  <c r="F57" i="62"/>
  <c r="F56" i="62"/>
  <c r="F55" i="62"/>
  <c r="F54" i="62"/>
  <c r="F53" i="62"/>
  <c r="F52" i="62"/>
  <c r="F51" i="62"/>
  <c r="F50" i="62"/>
  <c r="F49" i="62"/>
  <c r="F48" i="62"/>
  <c r="F47" i="62"/>
  <c r="F46" i="62"/>
  <c r="F45" i="62"/>
  <c r="F44" i="62"/>
  <c r="F43" i="62"/>
  <c r="F42" i="62"/>
  <c r="F41" i="62"/>
  <c r="F40" i="62"/>
  <c r="F39" i="62"/>
  <c r="F38" i="62"/>
  <c r="F37" i="62"/>
  <c r="F36" i="62"/>
  <c r="F35" i="62"/>
  <c r="F34" i="62"/>
  <c r="F33" i="62"/>
  <c r="F32" i="62"/>
  <c r="F31" i="62"/>
  <c r="F30" i="62"/>
  <c r="F29" i="62"/>
  <c r="F28" i="62"/>
  <c r="F27" i="62"/>
  <c r="F26" i="62"/>
  <c r="F25" i="62"/>
  <c r="F24" i="62"/>
  <c r="F23" i="62"/>
  <c r="F22" i="62"/>
  <c r="F21" i="62"/>
  <c r="F20" i="62"/>
  <c r="F19" i="62"/>
  <c r="F18" i="62"/>
  <c r="F17" i="62"/>
  <c r="F16" i="62"/>
  <c r="F15" i="62"/>
  <c r="F14" i="62"/>
  <c r="F13" i="62"/>
  <c r="F12" i="62"/>
  <c r="F11" i="62"/>
  <c r="F10" i="62"/>
  <c r="F9" i="62"/>
  <c r="F8" i="62"/>
  <c r="F7" i="62"/>
  <c r="F6" i="62"/>
  <c r="I26" i="61"/>
  <c r="U60" i="61"/>
  <c r="AB68" i="83" s="1"/>
  <c r="T60" i="61"/>
  <c r="AA68" i="83" s="1"/>
  <c r="R60" i="61"/>
  <c r="Y68" i="83" s="1"/>
  <c r="Q60" i="61"/>
  <c r="X68" i="83" s="1"/>
  <c r="O60" i="61"/>
  <c r="V68" i="83" s="1"/>
  <c r="N60" i="61"/>
  <c r="U68" i="83" s="1"/>
  <c r="L60" i="61"/>
  <c r="S68" i="83" s="1"/>
  <c r="K60" i="61"/>
  <c r="R68" i="83" s="1"/>
  <c r="E60" i="61"/>
  <c r="K68" i="83" s="1"/>
  <c r="D60" i="61"/>
  <c r="J68" i="83" s="1"/>
  <c r="C60" i="61"/>
  <c r="I68" i="83" s="1"/>
  <c r="B60" i="61"/>
  <c r="H68" i="83" s="1"/>
  <c r="F58" i="61"/>
  <c r="F57" i="61"/>
  <c r="F56" i="61"/>
  <c r="F55" i="61"/>
  <c r="F54" i="61"/>
  <c r="F53" i="61"/>
  <c r="F52" i="61"/>
  <c r="F51" i="61"/>
  <c r="F50" i="61"/>
  <c r="F49" i="61"/>
  <c r="F48" i="61"/>
  <c r="F47" i="61"/>
  <c r="F46" i="61"/>
  <c r="F45" i="61"/>
  <c r="F44" i="61"/>
  <c r="F43" i="61"/>
  <c r="F42" i="61"/>
  <c r="F41" i="61"/>
  <c r="F40" i="61"/>
  <c r="F39" i="61"/>
  <c r="F38" i="61"/>
  <c r="F37" i="61"/>
  <c r="F36" i="61"/>
  <c r="F35" i="61"/>
  <c r="F34" i="61"/>
  <c r="F33" i="61"/>
  <c r="F32" i="61"/>
  <c r="F31" i="61"/>
  <c r="F30" i="61"/>
  <c r="F29" i="61"/>
  <c r="F28" i="61"/>
  <c r="F27" i="61"/>
  <c r="F26" i="61"/>
  <c r="F25" i="61"/>
  <c r="F24" i="61"/>
  <c r="F23" i="61"/>
  <c r="F22" i="61"/>
  <c r="F21" i="61"/>
  <c r="F20" i="61"/>
  <c r="F19" i="61"/>
  <c r="F18" i="61"/>
  <c r="F17" i="61"/>
  <c r="F16" i="61"/>
  <c r="F15" i="61"/>
  <c r="F14" i="61"/>
  <c r="F13" i="61"/>
  <c r="F12" i="61"/>
  <c r="F11" i="61"/>
  <c r="F10" i="61"/>
  <c r="F9" i="61"/>
  <c r="F8" i="61"/>
  <c r="F7" i="61"/>
  <c r="F6" i="61"/>
  <c r="F60" i="61" s="1"/>
  <c r="I27" i="61" s="1"/>
  <c r="I26" i="60"/>
  <c r="U60" i="60"/>
  <c r="AB69" i="83" s="1"/>
  <c r="T60" i="60"/>
  <c r="AA69" i="83" s="1"/>
  <c r="R60" i="60"/>
  <c r="Y69" i="83" s="1"/>
  <c r="Q60" i="60"/>
  <c r="X69" i="83" s="1"/>
  <c r="O60" i="60"/>
  <c r="V69" i="83" s="1"/>
  <c r="N60" i="60"/>
  <c r="U69" i="83" s="1"/>
  <c r="L60" i="60"/>
  <c r="S69" i="83" s="1"/>
  <c r="K60" i="60"/>
  <c r="R69" i="83" s="1"/>
  <c r="E60" i="60"/>
  <c r="K69" i="83" s="1"/>
  <c r="D60" i="60"/>
  <c r="J69" i="83" s="1"/>
  <c r="C60" i="60"/>
  <c r="I69" i="83" s="1"/>
  <c r="B60" i="60"/>
  <c r="H69" i="83" s="1"/>
  <c r="F58" i="60"/>
  <c r="F57" i="60"/>
  <c r="F56" i="60"/>
  <c r="F55" i="60"/>
  <c r="F54" i="60"/>
  <c r="F53" i="60"/>
  <c r="F52" i="60"/>
  <c r="F51" i="60"/>
  <c r="F50" i="60"/>
  <c r="F49" i="60"/>
  <c r="F48" i="60"/>
  <c r="F47" i="60"/>
  <c r="F46" i="60"/>
  <c r="F45" i="60"/>
  <c r="F44" i="60"/>
  <c r="F43" i="60"/>
  <c r="F42" i="60"/>
  <c r="F41" i="60"/>
  <c r="F40" i="60"/>
  <c r="F39" i="60"/>
  <c r="F38" i="60"/>
  <c r="F37" i="60"/>
  <c r="F36" i="60"/>
  <c r="F35" i="60"/>
  <c r="F34" i="60"/>
  <c r="F33" i="60"/>
  <c r="F32" i="60"/>
  <c r="F31" i="60"/>
  <c r="F30" i="60"/>
  <c r="F29" i="60"/>
  <c r="F28" i="60"/>
  <c r="F27" i="60"/>
  <c r="F26" i="60"/>
  <c r="F25" i="60"/>
  <c r="F24" i="60"/>
  <c r="F23" i="60"/>
  <c r="F22" i="60"/>
  <c r="F21" i="60"/>
  <c r="F20" i="60"/>
  <c r="F19" i="60"/>
  <c r="F18" i="60"/>
  <c r="F17" i="60"/>
  <c r="F16" i="60"/>
  <c r="F15" i="60"/>
  <c r="F14" i="60"/>
  <c r="F13" i="60"/>
  <c r="F12" i="60"/>
  <c r="F11" i="60"/>
  <c r="F10" i="60"/>
  <c r="F9" i="60"/>
  <c r="F8" i="60"/>
  <c r="F7" i="60"/>
  <c r="F6" i="60"/>
  <c r="I26" i="59"/>
  <c r="U60" i="59"/>
  <c r="AB70" i="83" s="1"/>
  <c r="T60" i="59"/>
  <c r="AA70" i="83" s="1"/>
  <c r="R60" i="59"/>
  <c r="Y70" i="83" s="1"/>
  <c r="Q60" i="59"/>
  <c r="X70" i="83" s="1"/>
  <c r="O60" i="59"/>
  <c r="V70" i="83" s="1"/>
  <c r="N60" i="59"/>
  <c r="U70" i="83" s="1"/>
  <c r="L60" i="59"/>
  <c r="S70" i="83" s="1"/>
  <c r="K60" i="59"/>
  <c r="R70" i="83" s="1"/>
  <c r="E60" i="59"/>
  <c r="D60" i="59"/>
  <c r="J70" i="83" s="1"/>
  <c r="C60" i="59"/>
  <c r="I70" i="83" s="1"/>
  <c r="B60" i="59"/>
  <c r="H70" i="83" s="1"/>
  <c r="F58" i="59"/>
  <c r="F57" i="59"/>
  <c r="F56" i="59"/>
  <c r="F55" i="59"/>
  <c r="F54" i="59"/>
  <c r="F53" i="59"/>
  <c r="F52" i="59"/>
  <c r="F51" i="59"/>
  <c r="F50" i="59"/>
  <c r="F49" i="59"/>
  <c r="F48" i="59"/>
  <c r="F47" i="59"/>
  <c r="F46" i="59"/>
  <c r="F45" i="59"/>
  <c r="F44" i="59"/>
  <c r="F43" i="59"/>
  <c r="F42" i="59"/>
  <c r="F41" i="59"/>
  <c r="F40" i="59"/>
  <c r="F39" i="59"/>
  <c r="F38" i="59"/>
  <c r="F37" i="59"/>
  <c r="F36" i="59"/>
  <c r="F35" i="59"/>
  <c r="F34" i="59"/>
  <c r="F33" i="59"/>
  <c r="F32" i="59"/>
  <c r="F31" i="59"/>
  <c r="F30" i="59"/>
  <c r="F29" i="59"/>
  <c r="F28" i="59"/>
  <c r="F27" i="59"/>
  <c r="F26" i="59"/>
  <c r="F25" i="59"/>
  <c r="F24" i="59"/>
  <c r="F23" i="59"/>
  <c r="F22" i="59"/>
  <c r="F21" i="59"/>
  <c r="F20" i="59"/>
  <c r="F19" i="59"/>
  <c r="F18" i="59"/>
  <c r="F17" i="59"/>
  <c r="F16" i="59"/>
  <c r="F15" i="59"/>
  <c r="F14" i="59"/>
  <c r="F13" i="59"/>
  <c r="F12" i="59"/>
  <c r="F11" i="59"/>
  <c r="F10" i="59"/>
  <c r="F9" i="59"/>
  <c r="F8" i="59"/>
  <c r="F7" i="59"/>
  <c r="F6" i="59"/>
  <c r="I26" i="58"/>
  <c r="U60" i="58"/>
  <c r="AB17" i="83" s="1"/>
  <c r="T60" i="58"/>
  <c r="AA17" i="83" s="1"/>
  <c r="R60" i="58"/>
  <c r="Y17" i="83" s="1"/>
  <c r="Q60" i="58"/>
  <c r="X17" i="83" s="1"/>
  <c r="O60" i="58"/>
  <c r="V17" i="83" s="1"/>
  <c r="N60" i="58"/>
  <c r="L60" i="58"/>
  <c r="S17" i="83" s="1"/>
  <c r="K60" i="58"/>
  <c r="R17" i="83" s="1"/>
  <c r="E60" i="58"/>
  <c r="K17" i="83" s="1"/>
  <c r="D60" i="58"/>
  <c r="C60" i="58"/>
  <c r="I17" i="83" s="1"/>
  <c r="B60" i="58"/>
  <c r="F58" i="58"/>
  <c r="F57" i="58"/>
  <c r="F56" i="58"/>
  <c r="F55" i="58"/>
  <c r="F54" i="58"/>
  <c r="F53" i="58"/>
  <c r="F52" i="58"/>
  <c r="F51" i="58"/>
  <c r="F50" i="58"/>
  <c r="F49" i="58"/>
  <c r="F48" i="58"/>
  <c r="F47" i="58"/>
  <c r="F46" i="58"/>
  <c r="F45" i="58"/>
  <c r="F44" i="58"/>
  <c r="F43" i="58"/>
  <c r="F42" i="58"/>
  <c r="F41" i="58"/>
  <c r="F40" i="58"/>
  <c r="F39" i="58"/>
  <c r="F38" i="58"/>
  <c r="F37" i="58"/>
  <c r="F36" i="58"/>
  <c r="F35" i="58"/>
  <c r="F34" i="58"/>
  <c r="F33" i="58"/>
  <c r="F32" i="58"/>
  <c r="F31" i="58"/>
  <c r="F30" i="58"/>
  <c r="F29" i="58"/>
  <c r="F28" i="58"/>
  <c r="F27" i="58"/>
  <c r="F26" i="58"/>
  <c r="F25" i="58"/>
  <c r="F24" i="58"/>
  <c r="F23" i="58"/>
  <c r="F22" i="58"/>
  <c r="F21" i="58"/>
  <c r="F20" i="58"/>
  <c r="F19" i="58"/>
  <c r="F18" i="58"/>
  <c r="F17" i="58"/>
  <c r="F16" i="58"/>
  <c r="F15" i="58"/>
  <c r="F14" i="58"/>
  <c r="F13" i="58"/>
  <c r="F12" i="58"/>
  <c r="F11" i="58"/>
  <c r="F10" i="58"/>
  <c r="F9" i="58"/>
  <c r="F8" i="58"/>
  <c r="F7" i="58"/>
  <c r="F6" i="58"/>
  <c r="I26" i="57"/>
  <c r="U60" i="57"/>
  <c r="AB18" i="83" s="1"/>
  <c r="T60" i="57"/>
  <c r="AA18" i="83" s="1"/>
  <c r="R60" i="57"/>
  <c r="Y18" i="83" s="1"/>
  <c r="Q60" i="57"/>
  <c r="X18" i="83" s="1"/>
  <c r="O60" i="57"/>
  <c r="V18" i="83" s="1"/>
  <c r="N60" i="57"/>
  <c r="L60" i="57"/>
  <c r="S18" i="83" s="1"/>
  <c r="K60" i="57"/>
  <c r="R18" i="83" s="1"/>
  <c r="E60" i="57"/>
  <c r="K18" i="83" s="1"/>
  <c r="D60" i="57"/>
  <c r="C60" i="57"/>
  <c r="I18" i="83" s="1"/>
  <c r="B60" i="57"/>
  <c r="F58" i="57"/>
  <c r="F57" i="57"/>
  <c r="F56" i="57"/>
  <c r="F55" i="57"/>
  <c r="F54" i="57"/>
  <c r="F53" i="57"/>
  <c r="F52" i="57"/>
  <c r="F51" i="57"/>
  <c r="F50" i="57"/>
  <c r="F49" i="57"/>
  <c r="F48" i="57"/>
  <c r="F47" i="57"/>
  <c r="F46" i="57"/>
  <c r="F45" i="57"/>
  <c r="F44" i="57"/>
  <c r="F43" i="57"/>
  <c r="F42" i="57"/>
  <c r="F41" i="57"/>
  <c r="F40" i="57"/>
  <c r="F39" i="57"/>
  <c r="F38" i="57"/>
  <c r="F37" i="57"/>
  <c r="F36" i="57"/>
  <c r="F35" i="57"/>
  <c r="F34" i="57"/>
  <c r="F33" i="57"/>
  <c r="F32" i="57"/>
  <c r="F31" i="57"/>
  <c r="F30" i="57"/>
  <c r="F29" i="57"/>
  <c r="F28" i="57"/>
  <c r="F27" i="57"/>
  <c r="F26" i="57"/>
  <c r="F25" i="57"/>
  <c r="F24" i="57"/>
  <c r="F23" i="57"/>
  <c r="F22" i="57"/>
  <c r="F21" i="57"/>
  <c r="F20" i="57"/>
  <c r="F19" i="57"/>
  <c r="F18" i="57"/>
  <c r="F17" i="57"/>
  <c r="F16" i="57"/>
  <c r="F15" i="57"/>
  <c r="F14" i="57"/>
  <c r="F13" i="57"/>
  <c r="F12" i="57"/>
  <c r="F11" i="57"/>
  <c r="F10" i="57"/>
  <c r="F9" i="57"/>
  <c r="F8" i="57"/>
  <c r="F7" i="57"/>
  <c r="F6" i="57"/>
  <c r="F60" i="57" s="1"/>
  <c r="I27" i="57" s="1"/>
  <c r="I26" i="56"/>
  <c r="U60" i="56"/>
  <c r="T60" i="56"/>
  <c r="AA35" i="83" s="1"/>
  <c r="R60" i="56"/>
  <c r="Y35" i="83" s="1"/>
  <c r="Q60" i="56"/>
  <c r="O60" i="56"/>
  <c r="V35" i="83" s="1"/>
  <c r="N60" i="56"/>
  <c r="U35" i="83" s="1"/>
  <c r="L60" i="56"/>
  <c r="S35" i="83" s="1"/>
  <c r="K60" i="56"/>
  <c r="R35" i="83" s="1"/>
  <c r="E60" i="56"/>
  <c r="K35" i="83" s="1"/>
  <c r="D60" i="56"/>
  <c r="J35" i="83" s="1"/>
  <c r="C60" i="56"/>
  <c r="I35" i="83" s="1"/>
  <c r="B60" i="56"/>
  <c r="H35" i="83" s="1"/>
  <c r="F58" i="56"/>
  <c r="F57" i="56"/>
  <c r="F56" i="56"/>
  <c r="F55" i="56"/>
  <c r="F54" i="56"/>
  <c r="F53" i="56"/>
  <c r="F52" i="56"/>
  <c r="F51" i="56"/>
  <c r="F50" i="56"/>
  <c r="F49" i="56"/>
  <c r="F48" i="56"/>
  <c r="F47" i="56"/>
  <c r="F46" i="56"/>
  <c r="F45" i="56"/>
  <c r="F44" i="56"/>
  <c r="F43" i="56"/>
  <c r="F42" i="56"/>
  <c r="F41" i="56"/>
  <c r="F40" i="56"/>
  <c r="F39" i="56"/>
  <c r="F38" i="56"/>
  <c r="F37" i="56"/>
  <c r="F36" i="56"/>
  <c r="F35" i="56"/>
  <c r="F34" i="56"/>
  <c r="F33" i="56"/>
  <c r="F32" i="56"/>
  <c r="F31" i="56"/>
  <c r="F30" i="56"/>
  <c r="F29" i="56"/>
  <c r="F28" i="56"/>
  <c r="F27" i="56"/>
  <c r="F26" i="56"/>
  <c r="F25" i="56"/>
  <c r="F24" i="56"/>
  <c r="F23" i="56"/>
  <c r="F22" i="56"/>
  <c r="F21" i="56"/>
  <c r="F20" i="56"/>
  <c r="F19" i="56"/>
  <c r="F18" i="56"/>
  <c r="F17" i="56"/>
  <c r="F16" i="56"/>
  <c r="F15" i="56"/>
  <c r="F14" i="56"/>
  <c r="F13" i="56"/>
  <c r="F12" i="56"/>
  <c r="F11" i="56"/>
  <c r="F10" i="56"/>
  <c r="F9" i="56"/>
  <c r="F8" i="56"/>
  <c r="F7" i="56"/>
  <c r="F6" i="56"/>
  <c r="I26" i="55"/>
  <c r="U60" i="55"/>
  <c r="AB36" i="83" s="1"/>
  <c r="T60" i="55"/>
  <c r="AA36" i="83" s="1"/>
  <c r="R60" i="55"/>
  <c r="Y36" i="83" s="1"/>
  <c r="Q60" i="55"/>
  <c r="X36" i="83" s="1"/>
  <c r="O60" i="55"/>
  <c r="V36" i="83" s="1"/>
  <c r="N60" i="55"/>
  <c r="U36" i="83" s="1"/>
  <c r="L60" i="55"/>
  <c r="S36" i="83" s="1"/>
  <c r="K60" i="55"/>
  <c r="R36" i="83" s="1"/>
  <c r="E60" i="55"/>
  <c r="K36" i="83" s="1"/>
  <c r="D60" i="55"/>
  <c r="J36" i="83" s="1"/>
  <c r="C60" i="55"/>
  <c r="I36" i="83" s="1"/>
  <c r="B60" i="55"/>
  <c r="H36" i="83" s="1"/>
  <c r="F58" i="55"/>
  <c r="F57" i="55"/>
  <c r="F56" i="55"/>
  <c r="F55" i="55"/>
  <c r="F54" i="55"/>
  <c r="F53" i="55"/>
  <c r="F52" i="55"/>
  <c r="F51" i="55"/>
  <c r="F50" i="55"/>
  <c r="F49" i="55"/>
  <c r="F48" i="55"/>
  <c r="F47" i="55"/>
  <c r="F46" i="55"/>
  <c r="F45" i="55"/>
  <c r="F44" i="55"/>
  <c r="F43" i="55"/>
  <c r="F42" i="55"/>
  <c r="F41" i="55"/>
  <c r="F40" i="55"/>
  <c r="F39" i="55"/>
  <c r="F38" i="55"/>
  <c r="F37" i="55"/>
  <c r="F36" i="55"/>
  <c r="F35" i="55"/>
  <c r="F34" i="55"/>
  <c r="F33" i="55"/>
  <c r="F32" i="55"/>
  <c r="F31" i="55"/>
  <c r="F30" i="55"/>
  <c r="F29" i="55"/>
  <c r="F28" i="55"/>
  <c r="F27" i="55"/>
  <c r="F26" i="55"/>
  <c r="F25" i="55"/>
  <c r="F24" i="55"/>
  <c r="F23" i="55"/>
  <c r="F22" i="55"/>
  <c r="F21" i="55"/>
  <c r="F20" i="55"/>
  <c r="F19" i="55"/>
  <c r="F18" i="55"/>
  <c r="F17" i="55"/>
  <c r="F16" i="55"/>
  <c r="F15" i="55"/>
  <c r="F14" i="55"/>
  <c r="F13" i="55"/>
  <c r="F12" i="55"/>
  <c r="F11" i="55"/>
  <c r="F10" i="55"/>
  <c r="F9" i="55"/>
  <c r="F8" i="55"/>
  <c r="F7" i="55"/>
  <c r="F6" i="55"/>
  <c r="I26" i="54"/>
  <c r="U60" i="54"/>
  <c r="AB71" i="83" s="1"/>
  <c r="T60" i="54"/>
  <c r="AA71" i="83" s="1"/>
  <c r="R60" i="54"/>
  <c r="Y71" i="83" s="1"/>
  <c r="Q60" i="54"/>
  <c r="X71" i="83" s="1"/>
  <c r="O60" i="54"/>
  <c r="V71" i="83" s="1"/>
  <c r="N60" i="54"/>
  <c r="U71" i="83" s="1"/>
  <c r="L60" i="54"/>
  <c r="S71" i="83" s="1"/>
  <c r="K60" i="54"/>
  <c r="R71" i="83" s="1"/>
  <c r="E60" i="54"/>
  <c r="K71" i="83" s="1"/>
  <c r="D60" i="54"/>
  <c r="J71" i="83" s="1"/>
  <c r="C60" i="54"/>
  <c r="I71" i="83" s="1"/>
  <c r="B60" i="54"/>
  <c r="H71" i="83" s="1"/>
  <c r="F58" i="54"/>
  <c r="F57" i="54"/>
  <c r="F56" i="54"/>
  <c r="F55" i="54"/>
  <c r="F54" i="54"/>
  <c r="F53" i="54"/>
  <c r="F52" i="54"/>
  <c r="F51" i="54"/>
  <c r="F50" i="54"/>
  <c r="F49" i="54"/>
  <c r="F48" i="54"/>
  <c r="F47" i="54"/>
  <c r="F46" i="54"/>
  <c r="F45" i="54"/>
  <c r="F44" i="54"/>
  <c r="F43" i="54"/>
  <c r="F42" i="54"/>
  <c r="F41" i="54"/>
  <c r="F40" i="54"/>
  <c r="F39" i="54"/>
  <c r="F38" i="54"/>
  <c r="F37" i="54"/>
  <c r="F36" i="54"/>
  <c r="F35" i="54"/>
  <c r="F34" i="54"/>
  <c r="F33" i="54"/>
  <c r="F32" i="54"/>
  <c r="F31" i="54"/>
  <c r="F30" i="54"/>
  <c r="F29" i="54"/>
  <c r="F28" i="54"/>
  <c r="F27" i="54"/>
  <c r="F26" i="54"/>
  <c r="F25" i="54"/>
  <c r="F24" i="54"/>
  <c r="F23" i="54"/>
  <c r="F22" i="54"/>
  <c r="F21" i="54"/>
  <c r="F20" i="54"/>
  <c r="F19" i="54"/>
  <c r="F18" i="54"/>
  <c r="F17" i="54"/>
  <c r="F16" i="54"/>
  <c r="F15" i="54"/>
  <c r="F14" i="54"/>
  <c r="F13" i="54"/>
  <c r="F12" i="54"/>
  <c r="F11" i="54"/>
  <c r="F10" i="54"/>
  <c r="F9" i="54"/>
  <c r="F8" i="54"/>
  <c r="F7" i="54"/>
  <c r="F6" i="54"/>
  <c r="I26" i="53"/>
  <c r="U60" i="53"/>
  <c r="AB103" i="83" s="1"/>
  <c r="T60" i="53"/>
  <c r="AA103" i="83" s="1"/>
  <c r="R60" i="53"/>
  <c r="Y103" i="83" s="1"/>
  <c r="Q60" i="53"/>
  <c r="X103" i="83" s="1"/>
  <c r="O60" i="53"/>
  <c r="V103" i="83" s="1"/>
  <c r="N60" i="53"/>
  <c r="U103" i="83" s="1"/>
  <c r="L60" i="53"/>
  <c r="S103" i="83" s="1"/>
  <c r="K60" i="53"/>
  <c r="R103" i="83" s="1"/>
  <c r="E60" i="53"/>
  <c r="K103" i="83" s="1"/>
  <c r="D60" i="53"/>
  <c r="J103" i="83" s="1"/>
  <c r="C60" i="53"/>
  <c r="I103" i="83" s="1"/>
  <c r="B60" i="53"/>
  <c r="H103" i="83" s="1"/>
  <c r="F58" i="53"/>
  <c r="F57" i="53"/>
  <c r="F56" i="53"/>
  <c r="F55" i="53"/>
  <c r="F54" i="53"/>
  <c r="F53" i="53"/>
  <c r="F52" i="53"/>
  <c r="F51" i="53"/>
  <c r="F50" i="53"/>
  <c r="F49" i="53"/>
  <c r="F48" i="53"/>
  <c r="F47" i="53"/>
  <c r="F46" i="53"/>
  <c r="F45" i="53"/>
  <c r="F44" i="53"/>
  <c r="F43" i="53"/>
  <c r="F42" i="53"/>
  <c r="F41" i="53"/>
  <c r="F40" i="53"/>
  <c r="F39" i="53"/>
  <c r="F38" i="53"/>
  <c r="F37" i="53"/>
  <c r="F36" i="53"/>
  <c r="F35" i="53"/>
  <c r="F34" i="53"/>
  <c r="F33" i="53"/>
  <c r="F32" i="53"/>
  <c r="F31" i="53"/>
  <c r="F30" i="53"/>
  <c r="F29" i="53"/>
  <c r="F28" i="53"/>
  <c r="F27" i="53"/>
  <c r="F26" i="53"/>
  <c r="F25" i="53"/>
  <c r="F24" i="53"/>
  <c r="F23" i="53"/>
  <c r="F22" i="53"/>
  <c r="F21" i="53"/>
  <c r="F20" i="53"/>
  <c r="F19" i="53"/>
  <c r="F18" i="53"/>
  <c r="F17" i="53"/>
  <c r="F16" i="53"/>
  <c r="F15" i="53"/>
  <c r="F14" i="53"/>
  <c r="F13" i="53"/>
  <c r="F12" i="53"/>
  <c r="F11" i="53"/>
  <c r="F10" i="53"/>
  <c r="F9" i="53"/>
  <c r="F8" i="53"/>
  <c r="F7" i="53"/>
  <c r="F6" i="53"/>
  <c r="F60" i="53" s="1"/>
  <c r="I27" i="53" s="1"/>
  <c r="I26" i="52"/>
  <c r="U60" i="52"/>
  <c r="AB104" i="83" s="1"/>
  <c r="T60" i="52"/>
  <c r="AA104" i="83" s="1"/>
  <c r="R60" i="52"/>
  <c r="Y104" i="83" s="1"/>
  <c r="Q60" i="52"/>
  <c r="X104" i="83" s="1"/>
  <c r="O60" i="52"/>
  <c r="V104" i="83" s="1"/>
  <c r="N60" i="52"/>
  <c r="U104" i="83" s="1"/>
  <c r="L60" i="52"/>
  <c r="S104" i="83" s="1"/>
  <c r="K60" i="52"/>
  <c r="R104" i="83" s="1"/>
  <c r="E60" i="52"/>
  <c r="K104" i="83" s="1"/>
  <c r="D60" i="52"/>
  <c r="J104" i="83" s="1"/>
  <c r="C60" i="52"/>
  <c r="I104" i="83" s="1"/>
  <c r="B60" i="52"/>
  <c r="H104" i="83" s="1"/>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F20" i="52"/>
  <c r="F19" i="52"/>
  <c r="F18" i="52"/>
  <c r="F17" i="52"/>
  <c r="F16" i="52"/>
  <c r="F15" i="52"/>
  <c r="F14" i="52"/>
  <c r="F13" i="52"/>
  <c r="F12" i="52"/>
  <c r="F11" i="52"/>
  <c r="F10" i="52"/>
  <c r="F9" i="52"/>
  <c r="F8" i="52"/>
  <c r="F7" i="52"/>
  <c r="F6" i="52"/>
  <c r="I26" i="51"/>
  <c r="U60" i="51"/>
  <c r="AB72" i="83" s="1"/>
  <c r="T60" i="51"/>
  <c r="AA72" i="83" s="1"/>
  <c r="R60" i="51"/>
  <c r="Y72" i="83" s="1"/>
  <c r="Q60" i="51"/>
  <c r="X72" i="83" s="1"/>
  <c r="O60" i="51"/>
  <c r="V72" i="83" s="1"/>
  <c r="N60" i="51"/>
  <c r="U72" i="83" s="1"/>
  <c r="L60" i="51"/>
  <c r="S72" i="83" s="1"/>
  <c r="K60" i="51"/>
  <c r="E60" i="51"/>
  <c r="K72" i="83" s="1"/>
  <c r="D60" i="51"/>
  <c r="J72" i="83" s="1"/>
  <c r="C60" i="51"/>
  <c r="I72" i="83" s="1"/>
  <c r="B60" i="51"/>
  <c r="H72" i="83" s="1"/>
  <c r="F58" i="51"/>
  <c r="F57" i="51"/>
  <c r="F56" i="51"/>
  <c r="F55" i="51"/>
  <c r="F54" i="51"/>
  <c r="F53" i="51"/>
  <c r="F52" i="51"/>
  <c r="F51" i="51"/>
  <c r="F50" i="51"/>
  <c r="F49" i="51"/>
  <c r="F48" i="51"/>
  <c r="F47" i="51"/>
  <c r="F46" i="51"/>
  <c r="F45" i="51"/>
  <c r="F44" i="51"/>
  <c r="F43" i="51"/>
  <c r="F42" i="51"/>
  <c r="F41" i="51"/>
  <c r="F40" i="51"/>
  <c r="F39" i="51"/>
  <c r="F38" i="51"/>
  <c r="F37" i="51"/>
  <c r="F36" i="51"/>
  <c r="F35" i="51"/>
  <c r="F34" i="51"/>
  <c r="F33" i="51"/>
  <c r="F32" i="51"/>
  <c r="F31" i="51"/>
  <c r="F30" i="51"/>
  <c r="F29" i="51"/>
  <c r="F28" i="51"/>
  <c r="F27" i="51"/>
  <c r="F26" i="51"/>
  <c r="F25" i="51"/>
  <c r="F24" i="51"/>
  <c r="F23" i="51"/>
  <c r="F22" i="51"/>
  <c r="F21" i="51"/>
  <c r="F20" i="51"/>
  <c r="F19" i="51"/>
  <c r="F18" i="51"/>
  <c r="F17" i="51"/>
  <c r="F16" i="51"/>
  <c r="F15" i="51"/>
  <c r="F14" i="51"/>
  <c r="F13" i="51"/>
  <c r="F12" i="51"/>
  <c r="F11" i="51"/>
  <c r="F10" i="51"/>
  <c r="F9" i="51"/>
  <c r="F8" i="51"/>
  <c r="F7" i="51"/>
  <c r="F6" i="51"/>
  <c r="I26" i="50"/>
  <c r="U60" i="50"/>
  <c r="AB37" i="83" s="1"/>
  <c r="T60" i="50"/>
  <c r="AA37" i="83" s="1"/>
  <c r="R60" i="50"/>
  <c r="Y37" i="83" s="1"/>
  <c r="Q60" i="50"/>
  <c r="X37" i="83" s="1"/>
  <c r="O60" i="50"/>
  <c r="V37" i="83" s="1"/>
  <c r="N60" i="50"/>
  <c r="U37" i="83" s="1"/>
  <c r="L60" i="50"/>
  <c r="S37" i="83" s="1"/>
  <c r="K60" i="50"/>
  <c r="R37" i="83" s="1"/>
  <c r="E60" i="50"/>
  <c r="K37" i="83" s="1"/>
  <c r="D60" i="50"/>
  <c r="J37" i="83" s="1"/>
  <c r="C60" i="50"/>
  <c r="I37" i="83" s="1"/>
  <c r="B60" i="50"/>
  <c r="H37" i="83" s="1"/>
  <c r="F58" i="50"/>
  <c r="F57" i="50"/>
  <c r="F56" i="50"/>
  <c r="F55" i="50"/>
  <c r="F54" i="50"/>
  <c r="F53" i="50"/>
  <c r="F52" i="50"/>
  <c r="F51" i="50"/>
  <c r="F50" i="50"/>
  <c r="F49" i="50"/>
  <c r="F48" i="50"/>
  <c r="F47" i="50"/>
  <c r="F46" i="50"/>
  <c r="F45" i="50"/>
  <c r="F44" i="50"/>
  <c r="F43" i="50"/>
  <c r="F42" i="50"/>
  <c r="F41" i="50"/>
  <c r="F40" i="50"/>
  <c r="F39" i="50"/>
  <c r="F38" i="50"/>
  <c r="F37" i="50"/>
  <c r="F36" i="50"/>
  <c r="F35" i="50"/>
  <c r="F34" i="50"/>
  <c r="F33" i="50"/>
  <c r="F32" i="50"/>
  <c r="F31" i="50"/>
  <c r="F30" i="50"/>
  <c r="F29" i="50"/>
  <c r="F28" i="50"/>
  <c r="F27" i="50"/>
  <c r="F26" i="50"/>
  <c r="F25" i="50"/>
  <c r="F24" i="50"/>
  <c r="F23" i="50"/>
  <c r="F22" i="50"/>
  <c r="F21" i="50"/>
  <c r="F20" i="50"/>
  <c r="F19" i="50"/>
  <c r="F18" i="50"/>
  <c r="F17" i="50"/>
  <c r="F16" i="50"/>
  <c r="F15" i="50"/>
  <c r="F14" i="50"/>
  <c r="F13" i="50"/>
  <c r="F12" i="50"/>
  <c r="F11" i="50"/>
  <c r="F10" i="50"/>
  <c r="F9" i="50"/>
  <c r="F8" i="50"/>
  <c r="F7" i="50"/>
  <c r="F6" i="50"/>
  <c r="I26" i="49"/>
  <c r="U60" i="49"/>
  <c r="AB38" i="83" s="1"/>
  <c r="T60" i="49"/>
  <c r="AA38" i="83" s="1"/>
  <c r="R60" i="49"/>
  <c r="Y38" i="83" s="1"/>
  <c r="Q60" i="49"/>
  <c r="X38" i="83" s="1"/>
  <c r="O60" i="49"/>
  <c r="V38" i="83" s="1"/>
  <c r="N60" i="49"/>
  <c r="U38" i="83" s="1"/>
  <c r="L60" i="49"/>
  <c r="S38" i="83" s="1"/>
  <c r="K60" i="49"/>
  <c r="R38" i="83" s="1"/>
  <c r="E60" i="49"/>
  <c r="K38" i="83" s="1"/>
  <c r="D60" i="49"/>
  <c r="J38" i="83" s="1"/>
  <c r="C60" i="49"/>
  <c r="I38" i="83" s="1"/>
  <c r="B60" i="49"/>
  <c r="H38" i="83" s="1"/>
  <c r="F58" i="49"/>
  <c r="F57" i="49"/>
  <c r="F56" i="49"/>
  <c r="F55" i="49"/>
  <c r="F54" i="49"/>
  <c r="F53" i="49"/>
  <c r="F52" i="49"/>
  <c r="F51" i="49"/>
  <c r="F50" i="49"/>
  <c r="F49" i="49"/>
  <c r="F48" i="49"/>
  <c r="F47" i="49"/>
  <c r="F46" i="49"/>
  <c r="F45" i="49"/>
  <c r="F44" i="49"/>
  <c r="F43" i="49"/>
  <c r="F42" i="49"/>
  <c r="F41" i="49"/>
  <c r="F40" i="49"/>
  <c r="F39" i="49"/>
  <c r="F38" i="49"/>
  <c r="F37" i="49"/>
  <c r="F36" i="49"/>
  <c r="F35" i="49"/>
  <c r="F34" i="49"/>
  <c r="F33" i="49"/>
  <c r="F32" i="49"/>
  <c r="F31" i="49"/>
  <c r="F30" i="49"/>
  <c r="F29" i="49"/>
  <c r="F28" i="49"/>
  <c r="F27" i="49"/>
  <c r="F26" i="49"/>
  <c r="F25" i="49"/>
  <c r="F24" i="49"/>
  <c r="F23" i="49"/>
  <c r="F22" i="49"/>
  <c r="F21" i="49"/>
  <c r="F20" i="49"/>
  <c r="F19" i="49"/>
  <c r="F18" i="49"/>
  <c r="F17" i="49"/>
  <c r="F16" i="49"/>
  <c r="F15" i="49"/>
  <c r="F14" i="49"/>
  <c r="F13" i="49"/>
  <c r="F12" i="49"/>
  <c r="F11" i="49"/>
  <c r="F10" i="49"/>
  <c r="F9" i="49"/>
  <c r="F8" i="49"/>
  <c r="F7" i="49"/>
  <c r="F6" i="49"/>
  <c r="F60" i="49" s="1"/>
  <c r="I27" i="49" s="1"/>
  <c r="I26" i="48"/>
  <c r="U60" i="48"/>
  <c r="AB39" i="83" s="1"/>
  <c r="T60" i="48"/>
  <c r="AA39" i="83" s="1"/>
  <c r="R60" i="48"/>
  <c r="Y39" i="83" s="1"/>
  <c r="Q60" i="48"/>
  <c r="X39" i="83" s="1"/>
  <c r="O60" i="48"/>
  <c r="V39" i="83" s="1"/>
  <c r="N60" i="48"/>
  <c r="U39" i="83" s="1"/>
  <c r="L60" i="48"/>
  <c r="S39" i="83" s="1"/>
  <c r="K60" i="48"/>
  <c r="E60" i="48"/>
  <c r="K39" i="83" s="1"/>
  <c r="D60" i="48"/>
  <c r="J39" i="83" s="1"/>
  <c r="C60" i="48"/>
  <c r="I39" i="83" s="1"/>
  <c r="B60" i="48"/>
  <c r="H39" i="83" s="1"/>
  <c r="F58" i="48"/>
  <c r="F57" i="48"/>
  <c r="F56" i="48"/>
  <c r="F55" i="48"/>
  <c r="F54" i="48"/>
  <c r="F53" i="48"/>
  <c r="F52" i="48"/>
  <c r="F51" i="48"/>
  <c r="F50" i="48"/>
  <c r="F49" i="48"/>
  <c r="F48" i="48"/>
  <c r="F47" i="48"/>
  <c r="F46" i="48"/>
  <c r="F45" i="48"/>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F17" i="48"/>
  <c r="F16" i="48"/>
  <c r="F15" i="48"/>
  <c r="F14" i="48"/>
  <c r="F13" i="48"/>
  <c r="F12" i="48"/>
  <c r="F11" i="48"/>
  <c r="F10" i="48"/>
  <c r="F9" i="48"/>
  <c r="F8" i="48"/>
  <c r="F7" i="48"/>
  <c r="F6" i="48"/>
  <c r="I26" i="47"/>
  <c r="U60" i="47"/>
  <c r="AB73" i="83" s="1"/>
  <c r="T60" i="47"/>
  <c r="AA73" i="83" s="1"/>
  <c r="R60" i="47"/>
  <c r="Y73" i="83" s="1"/>
  <c r="Q60" i="47"/>
  <c r="X73" i="83" s="1"/>
  <c r="O60" i="47"/>
  <c r="V73" i="83" s="1"/>
  <c r="N60" i="47"/>
  <c r="U73" i="83" s="1"/>
  <c r="L60" i="47"/>
  <c r="S73" i="83" s="1"/>
  <c r="K60" i="47"/>
  <c r="R73" i="83" s="1"/>
  <c r="E60" i="47"/>
  <c r="K73" i="83" s="1"/>
  <c r="D60" i="47"/>
  <c r="J73" i="83" s="1"/>
  <c r="C60" i="47"/>
  <c r="I73" i="83" s="1"/>
  <c r="B60" i="47"/>
  <c r="H73" i="83" s="1"/>
  <c r="F58" i="47"/>
  <c r="F57" i="47"/>
  <c r="F56" i="47"/>
  <c r="F55" i="47"/>
  <c r="F54" i="47"/>
  <c r="F53" i="47"/>
  <c r="F52" i="47"/>
  <c r="F51" i="47"/>
  <c r="F50" i="47"/>
  <c r="F49" i="47"/>
  <c r="F48" i="47"/>
  <c r="F47" i="47"/>
  <c r="F46" i="47"/>
  <c r="F45" i="47"/>
  <c r="F44" i="47"/>
  <c r="F43" i="47"/>
  <c r="F42" i="47"/>
  <c r="F41" i="47"/>
  <c r="F40" i="47"/>
  <c r="F39" i="47"/>
  <c r="F38" i="47"/>
  <c r="F37" i="47"/>
  <c r="F36" i="47"/>
  <c r="F35" i="47"/>
  <c r="F34" i="47"/>
  <c r="F33" i="47"/>
  <c r="F32" i="47"/>
  <c r="F31" i="47"/>
  <c r="F30" i="47"/>
  <c r="F29" i="47"/>
  <c r="F28" i="47"/>
  <c r="F27" i="47"/>
  <c r="F26" i="47"/>
  <c r="F25" i="47"/>
  <c r="F24" i="47"/>
  <c r="F23" i="47"/>
  <c r="F22" i="47"/>
  <c r="F21" i="47"/>
  <c r="F20" i="47"/>
  <c r="F19" i="47"/>
  <c r="F18" i="47"/>
  <c r="F17" i="47"/>
  <c r="F16" i="47"/>
  <c r="F15" i="47"/>
  <c r="F14" i="47"/>
  <c r="F13" i="47"/>
  <c r="F12" i="47"/>
  <c r="F11" i="47"/>
  <c r="F10" i="47"/>
  <c r="F9" i="47"/>
  <c r="F8" i="47"/>
  <c r="F7" i="47"/>
  <c r="F6" i="47"/>
  <c r="I26" i="46"/>
  <c r="U60" i="46"/>
  <c r="AB40" i="83" s="1"/>
  <c r="T60" i="46"/>
  <c r="AA40" i="83" s="1"/>
  <c r="R60" i="46"/>
  <c r="Y40" i="83" s="1"/>
  <c r="Q60" i="46"/>
  <c r="X40" i="83" s="1"/>
  <c r="O60" i="46"/>
  <c r="V40" i="83" s="1"/>
  <c r="N60" i="46"/>
  <c r="U40" i="83" s="1"/>
  <c r="L60" i="46"/>
  <c r="S40" i="83" s="1"/>
  <c r="K60" i="46"/>
  <c r="R40" i="83" s="1"/>
  <c r="E60" i="46"/>
  <c r="K40" i="83" s="1"/>
  <c r="D60" i="46"/>
  <c r="J40" i="83" s="1"/>
  <c r="C60" i="46"/>
  <c r="I40" i="83" s="1"/>
  <c r="B60" i="46"/>
  <c r="H40" i="83" s="1"/>
  <c r="F58" i="46"/>
  <c r="F57" i="46"/>
  <c r="F56" i="46"/>
  <c r="F55" i="46"/>
  <c r="F54" i="46"/>
  <c r="F53" i="46"/>
  <c r="F52" i="46"/>
  <c r="F51" i="46"/>
  <c r="F50" i="46"/>
  <c r="F49" i="46"/>
  <c r="F48" i="46"/>
  <c r="F47" i="46"/>
  <c r="F46" i="46"/>
  <c r="F45" i="46"/>
  <c r="F44" i="46"/>
  <c r="F43" i="46"/>
  <c r="F42" i="46"/>
  <c r="F41" i="46"/>
  <c r="F40" i="46"/>
  <c r="F39" i="46"/>
  <c r="F38" i="46"/>
  <c r="F37" i="46"/>
  <c r="F36" i="46"/>
  <c r="F35" i="46"/>
  <c r="F34" i="46"/>
  <c r="F33" i="46"/>
  <c r="F32" i="46"/>
  <c r="F31" i="46"/>
  <c r="F30" i="46"/>
  <c r="F29" i="46"/>
  <c r="F28" i="46"/>
  <c r="F27" i="46"/>
  <c r="F26" i="46"/>
  <c r="F25" i="46"/>
  <c r="F24" i="46"/>
  <c r="F23" i="46"/>
  <c r="F22" i="46"/>
  <c r="F21" i="46"/>
  <c r="F20" i="46"/>
  <c r="F19" i="46"/>
  <c r="F18" i="46"/>
  <c r="F17" i="46"/>
  <c r="F16" i="46"/>
  <c r="F15" i="46"/>
  <c r="F14" i="46"/>
  <c r="F13" i="46"/>
  <c r="F12" i="46"/>
  <c r="F11" i="46"/>
  <c r="F10" i="46"/>
  <c r="F9" i="46"/>
  <c r="F8" i="46"/>
  <c r="F7" i="46"/>
  <c r="F6" i="46"/>
  <c r="I26" i="45"/>
  <c r="U60" i="45"/>
  <c r="AB74" i="83" s="1"/>
  <c r="T60" i="45"/>
  <c r="AA74" i="83" s="1"/>
  <c r="R60" i="45"/>
  <c r="Y74" i="83" s="1"/>
  <c r="Q60" i="45"/>
  <c r="X74" i="83" s="1"/>
  <c r="O60" i="45"/>
  <c r="V74" i="83" s="1"/>
  <c r="N60" i="45"/>
  <c r="U74" i="83" s="1"/>
  <c r="L60" i="45"/>
  <c r="S74" i="83" s="1"/>
  <c r="K60" i="45"/>
  <c r="R74" i="83" s="1"/>
  <c r="E60" i="45"/>
  <c r="K74" i="83" s="1"/>
  <c r="D60" i="45"/>
  <c r="J74" i="83" s="1"/>
  <c r="C60" i="45"/>
  <c r="I74" i="83" s="1"/>
  <c r="B60" i="45"/>
  <c r="H74" i="83" s="1"/>
  <c r="F58" i="45"/>
  <c r="F57" i="45"/>
  <c r="F56" i="45"/>
  <c r="F55" i="45"/>
  <c r="F54" i="45"/>
  <c r="F53" i="45"/>
  <c r="F52" i="45"/>
  <c r="F51" i="45"/>
  <c r="F50" i="45"/>
  <c r="F49" i="45"/>
  <c r="F48" i="45"/>
  <c r="F47" i="45"/>
  <c r="F46" i="45"/>
  <c r="F45" i="45"/>
  <c r="F44" i="45"/>
  <c r="F43" i="45"/>
  <c r="F42" i="45"/>
  <c r="F41" i="45"/>
  <c r="F40" i="45"/>
  <c r="F39" i="45"/>
  <c r="F38" i="45"/>
  <c r="F37" i="45"/>
  <c r="F36"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F7" i="45"/>
  <c r="F6" i="45"/>
  <c r="F60" i="45" s="1"/>
  <c r="I27" i="45" s="1"/>
  <c r="I26" i="44"/>
  <c r="U60" i="44"/>
  <c r="AB19" i="83" s="1"/>
  <c r="T60" i="44"/>
  <c r="AA19" i="83" s="1"/>
  <c r="R60" i="44"/>
  <c r="Y19" i="83" s="1"/>
  <c r="Q60" i="44"/>
  <c r="X19" i="83" s="1"/>
  <c r="O60" i="44"/>
  <c r="V19" i="83" s="1"/>
  <c r="N60" i="44"/>
  <c r="U19" i="83" s="1"/>
  <c r="L60" i="44"/>
  <c r="S19" i="83" s="1"/>
  <c r="K60" i="44"/>
  <c r="R19" i="83" s="1"/>
  <c r="E60" i="44"/>
  <c r="K19" i="83" s="1"/>
  <c r="D60" i="44"/>
  <c r="C60" i="44"/>
  <c r="I19" i="83" s="1"/>
  <c r="B60" i="44"/>
  <c r="H19" i="83" s="1"/>
  <c r="F58" i="44"/>
  <c r="F57" i="44"/>
  <c r="F56" i="44"/>
  <c r="F55" i="44"/>
  <c r="F54" i="44"/>
  <c r="F53" i="44"/>
  <c r="F52" i="44"/>
  <c r="F51" i="44"/>
  <c r="F50" i="44"/>
  <c r="F49" i="44"/>
  <c r="F48" i="44"/>
  <c r="F47" i="44"/>
  <c r="F46" i="44"/>
  <c r="F45" i="44"/>
  <c r="F44" i="44"/>
  <c r="F43" i="44"/>
  <c r="F42" i="44"/>
  <c r="F41" i="44"/>
  <c r="F40" i="44"/>
  <c r="F39" i="44"/>
  <c r="F38" i="44"/>
  <c r="F37" i="44"/>
  <c r="F36" i="44"/>
  <c r="F35" i="44"/>
  <c r="F34" i="44"/>
  <c r="F33" i="44"/>
  <c r="F32" i="44"/>
  <c r="F31" i="44"/>
  <c r="F30" i="44"/>
  <c r="F29" i="44"/>
  <c r="F28" i="44"/>
  <c r="F27" i="44"/>
  <c r="F26" i="44"/>
  <c r="F25" i="44"/>
  <c r="F24" i="44"/>
  <c r="F23" i="44"/>
  <c r="F22" i="44"/>
  <c r="F21" i="44"/>
  <c r="F20" i="44"/>
  <c r="F19" i="44"/>
  <c r="F18" i="44"/>
  <c r="F17" i="44"/>
  <c r="F16" i="44"/>
  <c r="F15" i="44"/>
  <c r="F14" i="44"/>
  <c r="F13" i="44"/>
  <c r="F12" i="44"/>
  <c r="F11" i="44"/>
  <c r="F10" i="44"/>
  <c r="F9" i="44"/>
  <c r="F8" i="44"/>
  <c r="F7" i="44"/>
  <c r="F6" i="44"/>
  <c r="F60" i="44" s="1"/>
  <c r="I27" i="44" s="1"/>
  <c r="I26" i="43"/>
  <c r="U60" i="43"/>
  <c r="AB75" i="83" s="1"/>
  <c r="T60" i="43"/>
  <c r="AA75" i="83" s="1"/>
  <c r="R60" i="43"/>
  <c r="Y75" i="83" s="1"/>
  <c r="Q60" i="43"/>
  <c r="X75" i="83" s="1"/>
  <c r="O60" i="43"/>
  <c r="V75" i="83" s="1"/>
  <c r="N60" i="43"/>
  <c r="U75" i="83" s="1"/>
  <c r="L60" i="43"/>
  <c r="S75" i="83" s="1"/>
  <c r="K60" i="43"/>
  <c r="R75" i="83" s="1"/>
  <c r="E60" i="43"/>
  <c r="K75" i="83" s="1"/>
  <c r="D60" i="43"/>
  <c r="J75" i="83" s="1"/>
  <c r="C60" i="43"/>
  <c r="I75" i="83" s="1"/>
  <c r="B60" i="43"/>
  <c r="H75" i="83" s="1"/>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60" i="43" s="1"/>
  <c r="I27" i="43" s="1"/>
  <c r="I26" i="42"/>
  <c r="U60" i="42"/>
  <c r="AB41" i="83" s="1"/>
  <c r="T60" i="42"/>
  <c r="AA41" i="83" s="1"/>
  <c r="R60" i="42"/>
  <c r="Y41" i="83" s="1"/>
  <c r="Q60" i="42"/>
  <c r="X41" i="83" s="1"/>
  <c r="O60" i="42"/>
  <c r="V41" i="83" s="1"/>
  <c r="N60" i="42"/>
  <c r="U41" i="83" s="1"/>
  <c r="L60" i="42"/>
  <c r="S41" i="83" s="1"/>
  <c r="K60" i="42"/>
  <c r="R41" i="83" s="1"/>
  <c r="E60" i="42"/>
  <c r="K41" i="83" s="1"/>
  <c r="D60" i="42"/>
  <c r="C60" i="42"/>
  <c r="I41" i="83" s="1"/>
  <c r="B60" i="42"/>
  <c r="H41" i="83" s="1"/>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F8" i="42"/>
  <c r="F7" i="42"/>
  <c r="F6" i="42"/>
  <c r="F60" i="42" s="1"/>
  <c r="I27" i="42" s="1"/>
  <c r="I26" i="41"/>
  <c r="U60" i="41"/>
  <c r="AB76" i="83" s="1"/>
  <c r="T60" i="41"/>
  <c r="AA76" i="83" s="1"/>
  <c r="R60" i="41"/>
  <c r="Y76" i="83" s="1"/>
  <c r="Q60" i="41"/>
  <c r="X76" i="83" s="1"/>
  <c r="O60" i="41"/>
  <c r="V76" i="83" s="1"/>
  <c r="N60" i="41"/>
  <c r="U76" i="83" s="1"/>
  <c r="L60" i="41"/>
  <c r="S76" i="83" s="1"/>
  <c r="K60" i="41"/>
  <c r="R76" i="83" s="1"/>
  <c r="E60" i="41"/>
  <c r="K76" i="83" s="1"/>
  <c r="D60" i="41"/>
  <c r="J76" i="83" s="1"/>
  <c r="C60" i="41"/>
  <c r="I76" i="83" s="1"/>
  <c r="B60" i="41"/>
  <c r="H76" i="83" s="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15" i="41"/>
  <c r="F14" i="41"/>
  <c r="F13" i="41"/>
  <c r="F12" i="41"/>
  <c r="F11" i="41"/>
  <c r="F10" i="41"/>
  <c r="F9" i="41"/>
  <c r="F8" i="41"/>
  <c r="F7" i="41"/>
  <c r="F6" i="41"/>
  <c r="F60" i="41" s="1"/>
  <c r="I27" i="41" s="1"/>
  <c r="I26" i="40"/>
  <c r="U60" i="40"/>
  <c r="AB42" i="83" s="1"/>
  <c r="T60" i="40"/>
  <c r="AA42" i="83" s="1"/>
  <c r="R60" i="40"/>
  <c r="Q60" i="40"/>
  <c r="X42" i="83" s="1"/>
  <c r="O60" i="40"/>
  <c r="V42" i="83" s="1"/>
  <c r="N60" i="40"/>
  <c r="U42" i="83" s="1"/>
  <c r="L60" i="40"/>
  <c r="S42" i="83" s="1"/>
  <c r="K60" i="40"/>
  <c r="R42" i="83" s="1"/>
  <c r="E60" i="40"/>
  <c r="K42" i="83" s="1"/>
  <c r="D60" i="40"/>
  <c r="J42" i="83" s="1"/>
  <c r="C60" i="40"/>
  <c r="I42" i="83" s="1"/>
  <c r="B60" i="40"/>
  <c r="H42" i="83" s="1"/>
  <c r="F58" i="40"/>
  <c r="F57" i="40"/>
  <c r="F56" i="40"/>
  <c r="F55" i="40"/>
  <c r="F54" i="40"/>
  <c r="F53" i="40"/>
  <c r="F52" i="40"/>
  <c r="F51" i="40"/>
  <c r="F50" i="40"/>
  <c r="F49" i="40"/>
  <c r="F48" i="40"/>
  <c r="F47" i="40"/>
  <c r="F46" i="40"/>
  <c r="F45" i="40"/>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9" i="40"/>
  <c r="F8" i="40"/>
  <c r="F7" i="40"/>
  <c r="F6" i="40"/>
  <c r="F60" i="40" s="1"/>
  <c r="I27" i="40" s="1"/>
  <c r="I26" i="39"/>
  <c r="U60" i="39"/>
  <c r="AB77" i="83" s="1"/>
  <c r="T60" i="39"/>
  <c r="AA77" i="83" s="1"/>
  <c r="R60" i="39"/>
  <c r="Y77" i="83" s="1"/>
  <c r="Q60" i="39"/>
  <c r="X77" i="83" s="1"/>
  <c r="O60" i="39"/>
  <c r="V77" i="83" s="1"/>
  <c r="N60" i="39"/>
  <c r="U77" i="83" s="1"/>
  <c r="L60" i="39"/>
  <c r="S77" i="83" s="1"/>
  <c r="K60" i="39"/>
  <c r="R77" i="83" s="1"/>
  <c r="E60" i="39"/>
  <c r="K77" i="83" s="1"/>
  <c r="D60" i="39"/>
  <c r="J77" i="83" s="1"/>
  <c r="C60" i="39"/>
  <c r="I77" i="83" s="1"/>
  <c r="B60" i="39"/>
  <c r="H77" i="83" s="1"/>
  <c r="F58" i="39"/>
  <c r="F57" i="39"/>
  <c r="F56" i="39"/>
  <c r="F55" i="39"/>
  <c r="F54" i="39"/>
  <c r="F53" i="39"/>
  <c r="F52" i="39"/>
  <c r="F51" i="39"/>
  <c r="F50" i="39"/>
  <c r="F49" i="39"/>
  <c r="F48" i="39"/>
  <c r="F47" i="39"/>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60" i="39" s="1"/>
  <c r="I27" i="39" s="1"/>
  <c r="I26" i="38"/>
  <c r="U60" i="38"/>
  <c r="AB43" i="83" s="1"/>
  <c r="T60" i="38"/>
  <c r="AA43" i="83" s="1"/>
  <c r="R60" i="38"/>
  <c r="Y43" i="83" s="1"/>
  <c r="Q60" i="38"/>
  <c r="X43" i="83" s="1"/>
  <c r="O60" i="38"/>
  <c r="V43" i="83" s="1"/>
  <c r="N60" i="38"/>
  <c r="U43" i="83" s="1"/>
  <c r="L60" i="38"/>
  <c r="S43" i="83" s="1"/>
  <c r="K60" i="38"/>
  <c r="R43" i="83" s="1"/>
  <c r="E60" i="38"/>
  <c r="K43" i="83" s="1"/>
  <c r="D60" i="38"/>
  <c r="J43" i="83" s="1"/>
  <c r="C60" i="38"/>
  <c r="I43" i="83" s="1"/>
  <c r="B60" i="38"/>
  <c r="H43" i="83" s="1"/>
  <c r="F58" i="38"/>
  <c r="F57" i="38"/>
  <c r="F56" i="38"/>
  <c r="F55" i="38"/>
  <c r="F54" i="38"/>
  <c r="F53" i="38"/>
  <c r="F52" i="38"/>
  <c r="F51" i="38"/>
  <c r="F50" i="38"/>
  <c r="F49" i="38"/>
  <c r="F48" i="38"/>
  <c r="F47" i="38"/>
  <c r="F46" i="38"/>
  <c r="F45" i="38"/>
  <c r="F44" i="38"/>
  <c r="F43" i="38"/>
  <c r="F42" i="38"/>
  <c r="F41" i="38"/>
  <c r="F40" i="38"/>
  <c r="F39" i="38"/>
  <c r="F38" i="38"/>
  <c r="F37" i="38"/>
  <c r="F36" i="38"/>
  <c r="F35" i="38"/>
  <c r="F34" i="38"/>
  <c r="F33" i="38"/>
  <c r="F32" i="38"/>
  <c r="F31" i="38"/>
  <c r="F30" i="38"/>
  <c r="F29" i="38"/>
  <c r="F28" i="38"/>
  <c r="F27" i="38"/>
  <c r="F26" i="38"/>
  <c r="F25" i="38"/>
  <c r="F24" i="38"/>
  <c r="F23" i="38"/>
  <c r="F22" i="38"/>
  <c r="F21" i="38"/>
  <c r="F20" i="38"/>
  <c r="F19" i="38"/>
  <c r="F18" i="38"/>
  <c r="F17" i="38"/>
  <c r="F16" i="38"/>
  <c r="F15" i="38"/>
  <c r="F14" i="38"/>
  <c r="F13" i="38"/>
  <c r="F12" i="38"/>
  <c r="F11" i="38"/>
  <c r="F10" i="38"/>
  <c r="F9" i="38"/>
  <c r="F8" i="38"/>
  <c r="F7" i="38"/>
  <c r="F6" i="38"/>
  <c r="F60" i="38" s="1"/>
  <c r="I27" i="38" s="1"/>
  <c r="I26" i="37"/>
  <c r="U60" i="37"/>
  <c r="AB20" i="83" s="1"/>
  <c r="T60" i="37"/>
  <c r="AA20" i="83" s="1"/>
  <c r="R60" i="37"/>
  <c r="Y20" i="83" s="1"/>
  <c r="Q60" i="37"/>
  <c r="X20" i="83" s="1"/>
  <c r="O60" i="37"/>
  <c r="V20" i="83" s="1"/>
  <c r="N60" i="37"/>
  <c r="U20" i="83" s="1"/>
  <c r="L60" i="37"/>
  <c r="S20" i="83" s="1"/>
  <c r="K60" i="37"/>
  <c r="R20" i="83" s="1"/>
  <c r="E60" i="37"/>
  <c r="K20" i="83" s="1"/>
  <c r="D60" i="37"/>
  <c r="C60" i="37"/>
  <c r="I20" i="83" s="1"/>
  <c r="B60" i="37"/>
  <c r="H20" i="83" s="1"/>
  <c r="F58" i="37"/>
  <c r="F57" i="37"/>
  <c r="F56" i="37"/>
  <c r="F55" i="37"/>
  <c r="F54" i="37"/>
  <c r="F53" i="37"/>
  <c r="F52" i="37"/>
  <c r="F51" i="3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13" i="37"/>
  <c r="F12" i="37"/>
  <c r="F11" i="37"/>
  <c r="F10" i="37"/>
  <c r="F9" i="37"/>
  <c r="F8" i="37"/>
  <c r="F7" i="37"/>
  <c r="F6" i="37"/>
  <c r="F60" i="37" s="1"/>
  <c r="I27" i="37" s="1"/>
  <c r="I26" i="36"/>
  <c r="U60" i="36"/>
  <c r="AB21" i="83" s="1"/>
  <c r="T60" i="36"/>
  <c r="AA21" i="83" s="1"/>
  <c r="R60" i="36"/>
  <c r="Y21" i="83" s="1"/>
  <c r="Q60" i="36"/>
  <c r="X21" i="83" s="1"/>
  <c r="O60" i="36"/>
  <c r="V21" i="83" s="1"/>
  <c r="N60" i="36"/>
  <c r="U21" i="83" s="1"/>
  <c r="L60" i="36"/>
  <c r="S21" i="83" s="1"/>
  <c r="K60" i="36"/>
  <c r="R21" i="83" s="1"/>
  <c r="E60" i="36"/>
  <c r="K21" i="83" s="1"/>
  <c r="D60" i="36"/>
  <c r="C60" i="36"/>
  <c r="I21" i="83" s="1"/>
  <c r="B60" i="36"/>
  <c r="H21" i="83" s="1"/>
  <c r="F58" i="36"/>
  <c r="F57" i="36"/>
  <c r="F56" i="36"/>
  <c r="F55" i="36"/>
  <c r="F54" i="36"/>
  <c r="F53" i="36"/>
  <c r="F52" i="36"/>
  <c r="F51" i="36"/>
  <c r="F50" i="36"/>
  <c r="F49" i="36"/>
  <c r="F48" i="36"/>
  <c r="F47" i="36"/>
  <c r="F46" i="36"/>
  <c r="F45" i="36"/>
  <c r="F44" i="36"/>
  <c r="F43" i="36"/>
  <c r="F42" i="36"/>
  <c r="F41" i="36"/>
  <c r="F40" i="36"/>
  <c r="F39" i="36"/>
  <c r="F38" i="36"/>
  <c r="F37" i="36"/>
  <c r="F36" i="36"/>
  <c r="F35" i="36"/>
  <c r="F34" i="36"/>
  <c r="F33" i="36"/>
  <c r="F32" i="36"/>
  <c r="F31" i="36"/>
  <c r="F30" i="36"/>
  <c r="F29" i="36"/>
  <c r="F28" i="36"/>
  <c r="F27" i="36"/>
  <c r="F26" i="36"/>
  <c r="F25" i="36"/>
  <c r="F24" i="36"/>
  <c r="F23" i="36"/>
  <c r="F22" i="36"/>
  <c r="F21" i="36"/>
  <c r="F20" i="36"/>
  <c r="F19" i="36"/>
  <c r="F18" i="36"/>
  <c r="F17" i="36"/>
  <c r="F16" i="36"/>
  <c r="F15" i="36"/>
  <c r="F14" i="36"/>
  <c r="F13" i="36"/>
  <c r="F12" i="36"/>
  <c r="F11" i="36"/>
  <c r="F10" i="36"/>
  <c r="F9" i="36"/>
  <c r="F8" i="36"/>
  <c r="F7" i="36"/>
  <c r="F6" i="36"/>
  <c r="F60" i="36" s="1"/>
  <c r="I27" i="36" s="1"/>
  <c r="I26" i="35"/>
  <c r="U60" i="35"/>
  <c r="AB79" i="83" s="1"/>
  <c r="T60" i="35"/>
  <c r="AA79" i="83" s="1"/>
  <c r="R60" i="35"/>
  <c r="Y79" i="83" s="1"/>
  <c r="Q60" i="35"/>
  <c r="X79" i="83" s="1"/>
  <c r="O60" i="35"/>
  <c r="V79" i="83" s="1"/>
  <c r="N60" i="35"/>
  <c r="U79" i="83" s="1"/>
  <c r="L60" i="35"/>
  <c r="S79" i="83" s="1"/>
  <c r="K60" i="35"/>
  <c r="R79" i="83" s="1"/>
  <c r="E60" i="35"/>
  <c r="K79" i="83" s="1"/>
  <c r="D60" i="35"/>
  <c r="J79" i="83" s="1"/>
  <c r="C60" i="35"/>
  <c r="B60" i="35"/>
  <c r="H79" i="83" s="1"/>
  <c r="F58" i="35"/>
  <c r="F57" i="35"/>
  <c r="F56" i="35"/>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60" i="35" s="1"/>
  <c r="I27" i="35" s="1"/>
  <c r="I26" i="34"/>
  <c r="U60" i="34"/>
  <c r="AB44" i="83" s="1"/>
  <c r="T60" i="34"/>
  <c r="AA44" i="83" s="1"/>
  <c r="R60" i="34"/>
  <c r="Q60" i="34"/>
  <c r="X44" i="83" s="1"/>
  <c r="O60" i="34"/>
  <c r="V44" i="83" s="1"/>
  <c r="N60" i="34"/>
  <c r="U44" i="83" s="1"/>
  <c r="L60" i="34"/>
  <c r="K60" i="34"/>
  <c r="R44" i="83" s="1"/>
  <c r="E60" i="34"/>
  <c r="K44" i="83" s="1"/>
  <c r="D60" i="34"/>
  <c r="J44" i="83" s="1"/>
  <c r="C60" i="34"/>
  <c r="I44" i="83" s="1"/>
  <c r="B60" i="34"/>
  <c r="H44" i="83" s="1"/>
  <c r="F58" i="34"/>
  <c r="F57" i="34"/>
  <c r="F56" i="34"/>
  <c r="F55" i="34"/>
  <c r="F54" i="34"/>
  <c r="F53" i="34"/>
  <c r="F52" i="34"/>
  <c r="F51" i="34"/>
  <c r="F50" i="34"/>
  <c r="F49" i="34"/>
  <c r="F48" i="34"/>
  <c r="F47" i="34"/>
  <c r="F46" i="34"/>
  <c r="F45" i="34"/>
  <c r="F44" i="34"/>
  <c r="F43" i="34"/>
  <c r="F42" i="34"/>
  <c r="F41" i="34"/>
  <c r="F40" i="34"/>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60" i="34" s="1"/>
  <c r="I27" i="34" s="1"/>
  <c r="I26" i="33"/>
  <c r="U60" i="33"/>
  <c r="AB22" i="83" s="1"/>
  <c r="T60" i="33"/>
  <c r="AA22" i="83" s="1"/>
  <c r="R60" i="33"/>
  <c r="Y22" i="83" s="1"/>
  <c r="Q60" i="33"/>
  <c r="X22" i="83" s="1"/>
  <c r="O60" i="33"/>
  <c r="V22" i="83" s="1"/>
  <c r="N60" i="33"/>
  <c r="U22" i="83" s="1"/>
  <c r="L60" i="33"/>
  <c r="S22" i="83" s="1"/>
  <c r="K60" i="33"/>
  <c r="R22" i="83" s="1"/>
  <c r="E60" i="33"/>
  <c r="K22" i="83" s="1"/>
  <c r="D60" i="33"/>
  <c r="C60" i="33"/>
  <c r="I22" i="83" s="1"/>
  <c r="B60" i="33"/>
  <c r="H22" i="83" s="1"/>
  <c r="F58" i="33"/>
  <c r="F57" i="33"/>
  <c r="F56" i="33"/>
  <c r="F55" i="33"/>
  <c r="F54" i="33"/>
  <c r="F53" i="33"/>
  <c r="F52" i="33"/>
  <c r="F51" i="33"/>
  <c r="F50" i="33"/>
  <c r="F49" i="33"/>
  <c r="F48" i="33"/>
  <c r="F47" i="33"/>
  <c r="F46" i="33"/>
  <c r="F45"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F10" i="33"/>
  <c r="F9" i="33"/>
  <c r="F8" i="33"/>
  <c r="F7" i="33"/>
  <c r="F6" i="33"/>
  <c r="F60" i="33" s="1"/>
  <c r="I27" i="33" s="1"/>
  <c r="I26" i="32"/>
  <c r="U60" i="32"/>
  <c r="AB23" i="83" s="1"/>
  <c r="T60" i="32"/>
  <c r="AA23" i="83" s="1"/>
  <c r="R60" i="32"/>
  <c r="Y23" i="83" s="1"/>
  <c r="Q60" i="32"/>
  <c r="X23" i="83" s="1"/>
  <c r="O60" i="32"/>
  <c r="V23" i="83" s="1"/>
  <c r="N60" i="32"/>
  <c r="U23" i="83" s="1"/>
  <c r="L60" i="32"/>
  <c r="S23" i="83" s="1"/>
  <c r="K60" i="32"/>
  <c r="R23" i="83" s="1"/>
  <c r="E60" i="32"/>
  <c r="K23" i="83" s="1"/>
  <c r="D60" i="32"/>
  <c r="C60" i="32"/>
  <c r="I23" i="83" s="1"/>
  <c r="B60" i="32"/>
  <c r="H23" i="83" s="1"/>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16" i="32"/>
  <c r="F15" i="32"/>
  <c r="F14" i="32"/>
  <c r="F13" i="32"/>
  <c r="F12" i="32"/>
  <c r="F11" i="32"/>
  <c r="F10" i="32"/>
  <c r="F9" i="32"/>
  <c r="F8" i="32"/>
  <c r="F7" i="32"/>
  <c r="F6" i="32"/>
  <c r="F60" i="32" s="1"/>
  <c r="I27" i="32" s="1"/>
  <c r="I26" i="31"/>
  <c r="U60" i="31"/>
  <c r="AB105" i="83" s="1"/>
  <c r="T60" i="31"/>
  <c r="AA105" i="83" s="1"/>
  <c r="R60" i="31"/>
  <c r="Y105" i="83" s="1"/>
  <c r="Q60" i="31"/>
  <c r="X105" i="83" s="1"/>
  <c r="O60" i="31"/>
  <c r="V105" i="83" s="1"/>
  <c r="N60" i="31"/>
  <c r="U105" i="83" s="1"/>
  <c r="L60" i="31"/>
  <c r="S105" i="83" s="1"/>
  <c r="K60" i="31"/>
  <c r="R105" i="83" s="1"/>
  <c r="E60" i="31"/>
  <c r="K105" i="83" s="1"/>
  <c r="D60" i="31"/>
  <c r="J105" i="83" s="1"/>
  <c r="C60" i="31"/>
  <c r="I105" i="83" s="1"/>
  <c r="B60" i="31"/>
  <c r="H105" i="83" s="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F13" i="31"/>
  <c r="F12" i="31"/>
  <c r="F11" i="31"/>
  <c r="F10" i="31"/>
  <c r="F9" i="31"/>
  <c r="F8" i="31"/>
  <c r="F7" i="31"/>
  <c r="F6" i="31"/>
  <c r="F60" i="31" s="1"/>
  <c r="I27" i="31" s="1"/>
  <c r="I26" i="30"/>
  <c r="U60" i="30"/>
  <c r="AB80" i="83" s="1"/>
  <c r="T60" i="30"/>
  <c r="AA80" i="83" s="1"/>
  <c r="R60" i="30"/>
  <c r="Y80" i="83" s="1"/>
  <c r="Q60" i="30"/>
  <c r="X80" i="83" s="1"/>
  <c r="O60" i="30"/>
  <c r="V80" i="83" s="1"/>
  <c r="N60" i="30"/>
  <c r="U80" i="83" s="1"/>
  <c r="L60" i="30"/>
  <c r="S80" i="83" s="1"/>
  <c r="K60" i="30"/>
  <c r="R80" i="83" s="1"/>
  <c r="E60" i="30"/>
  <c r="K80" i="83" s="1"/>
  <c r="D60" i="30"/>
  <c r="J80" i="83" s="1"/>
  <c r="C60" i="30"/>
  <c r="I80" i="83" s="1"/>
  <c r="B60" i="30"/>
  <c r="H80" i="83" s="1"/>
  <c r="F58" i="30"/>
  <c r="F57" i="30"/>
  <c r="F56" i="30"/>
  <c r="F55" i="30"/>
  <c r="F54" i="30"/>
  <c r="F53" i="30"/>
  <c r="F52" i="30"/>
  <c r="F51" i="30"/>
  <c r="F50" i="30"/>
  <c r="F49" i="30"/>
  <c r="F48" i="30"/>
  <c r="F47" i="30"/>
  <c r="F46" i="30"/>
  <c r="F45" i="30"/>
  <c r="F44" i="30"/>
  <c r="F43" i="30"/>
  <c r="F42" i="30"/>
  <c r="F41" i="30"/>
  <c r="F40" i="30"/>
  <c r="F39" i="30"/>
  <c r="F38" i="30"/>
  <c r="F37" i="30"/>
  <c r="F36" i="30"/>
  <c r="F35" i="30"/>
  <c r="F34" i="30"/>
  <c r="F33" i="30"/>
  <c r="F32" i="30"/>
  <c r="F31" i="30"/>
  <c r="F30" i="30"/>
  <c r="F29" i="30"/>
  <c r="F28" i="30"/>
  <c r="F27" i="30"/>
  <c r="F26" i="30"/>
  <c r="F25" i="30"/>
  <c r="F24" i="30"/>
  <c r="F23" i="30"/>
  <c r="F22" i="30"/>
  <c r="F21" i="30"/>
  <c r="F20" i="30"/>
  <c r="F19" i="30"/>
  <c r="F18" i="30"/>
  <c r="F17" i="30"/>
  <c r="F16" i="30"/>
  <c r="F15" i="30"/>
  <c r="F14" i="30"/>
  <c r="F13" i="30"/>
  <c r="F12" i="30"/>
  <c r="F11" i="30"/>
  <c r="F10" i="30"/>
  <c r="F9" i="30"/>
  <c r="F8" i="30"/>
  <c r="F7" i="30"/>
  <c r="F6" i="30"/>
  <c r="F60" i="30" s="1"/>
  <c r="I27" i="30" s="1"/>
  <c r="I26" i="29"/>
  <c r="U60" i="29"/>
  <c r="AB9" i="83" s="1"/>
  <c r="T60" i="29"/>
  <c r="AA9" i="83" s="1"/>
  <c r="R60" i="29"/>
  <c r="Y9" i="83" s="1"/>
  <c r="Q60" i="29"/>
  <c r="X9" i="83" s="1"/>
  <c r="O60" i="29"/>
  <c r="V9" i="83" s="1"/>
  <c r="N60" i="29"/>
  <c r="U9" i="83" s="1"/>
  <c r="L60" i="29"/>
  <c r="S9" i="83" s="1"/>
  <c r="K60" i="29"/>
  <c r="R9" i="83" s="1"/>
  <c r="E60" i="29"/>
  <c r="K9" i="83" s="1"/>
  <c r="D60" i="29"/>
  <c r="J9" i="83" s="1"/>
  <c r="C60" i="29"/>
  <c r="B60" i="29"/>
  <c r="H9" i="83" s="1"/>
  <c r="F58" i="29"/>
  <c r="F57" i="29"/>
  <c r="F56" i="29"/>
  <c r="F55" i="29"/>
  <c r="F54" i="29"/>
  <c r="F53" i="29"/>
  <c r="F52" i="29"/>
  <c r="F51" i="29"/>
  <c r="F50" i="29"/>
  <c r="F49" i="29"/>
  <c r="F48" i="29"/>
  <c r="F47" i="29"/>
  <c r="F46" i="29"/>
  <c r="F45" i="29"/>
  <c r="F44" i="29"/>
  <c r="F43" i="29"/>
  <c r="F42" i="29"/>
  <c r="F41" i="29"/>
  <c r="F40" i="29"/>
  <c r="F39" i="29"/>
  <c r="F38" i="29"/>
  <c r="F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6" i="29"/>
  <c r="I26" i="28"/>
  <c r="U60" i="28"/>
  <c r="AB81" i="83" s="1"/>
  <c r="T60" i="28"/>
  <c r="AA81" i="83" s="1"/>
  <c r="R60" i="28"/>
  <c r="Y81" i="83" s="1"/>
  <c r="Q60" i="28"/>
  <c r="X81" i="83" s="1"/>
  <c r="O60" i="28"/>
  <c r="V81" i="83" s="1"/>
  <c r="N60" i="28"/>
  <c r="U81" i="83" s="1"/>
  <c r="L60" i="28"/>
  <c r="S81" i="83" s="1"/>
  <c r="K60" i="28"/>
  <c r="R81" i="83" s="1"/>
  <c r="E60" i="28"/>
  <c r="K81" i="83" s="1"/>
  <c r="D60" i="28"/>
  <c r="J81" i="83" s="1"/>
  <c r="C60" i="28"/>
  <c r="I81" i="83" s="1"/>
  <c r="B60" i="28"/>
  <c r="H81" i="83" s="1"/>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F6" i="28"/>
  <c r="F60" i="28" s="1"/>
  <c r="I27" i="28" s="1"/>
  <c r="I26" i="27"/>
  <c r="U60" i="27"/>
  <c r="AB82" i="83" s="1"/>
  <c r="T60" i="27"/>
  <c r="AA82" i="83" s="1"/>
  <c r="R60" i="27"/>
  <c r="Y82" i="83" s="1"/>
  <c r="Q60" i="27"/>
  <c r="X82" i="83" s="1"/>
  <c r="O60" i="27"/>
  <c r="V82" i="83" s="1"/>
  <c r="N60" i="27"/>
  <c r="U82" i="83" s="1"/>
  <c r="L60" i="27"/>
  <c r="S82" i="83" s="1"/>
  <c r="K60" i="27"/>
  <c r="R82" i="83" s="1"/>
  <c r="E60" i="27"/>
  <c r="K82" i="83" s="1"/>
  <c r="D60" i="27"/>
  <c r="J82" i="83" s="1"/>
  <c r="C60" i="27"/>
  <c r="I82" i="83" s="1"/>
  <c r="B60" i="27"/>
  <c r="H82" i="83" s="1"/>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F6" i="27"/>
  <c r="F60" i="27" s="1"/>
  <c r="I27" i="27" s="1"/>
  <c r="I26" i="26"/>
  <c r="U60" i="26"/>
  <c r="AB83" i="83" s="1"/>
  <c r="T60" i="26"/>
  <c r="AA83" i="83" s="1"/>
  <c r="R60" i="26"/>
  <c r="Y83" i="83" s="1"/>
  <c r="Q60" i="26"/>
  <c r="X83" i="83" s="1"/>
  <c r="O60" i="26"/>
  <c r="V83" i="83" s="1"/>
  <c r="N60" i="26"/>
  <c r="U83" i="83" s="1"/>
  <c r="L60" i="26"/>
  <c r="K60" i="26"/>
  <c r="R83" i="83" s="1"/>
  <c r="E60" i="26"/>
  <c r="K83" i="83" s="1"/>
  <c r="D60" i="26"/>
  <c r="J83" i="83" s="1"/>
  <c r="C60" i="26"/>
  <c r="I83" i="83" s="1"/>
  <c r="B60" i="26"/>
  <c r="H83" i="83" s="1"/>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0" i="26"/>
  <c r="F9" i="26"/>
  <c r="F8" i="26"/>
  <c r="F7" i="26"/>
  <c r="F6" i="26"/>
  <c r="F60" i="26" s="1"/>
  <c r="I27" i="26" s="1"/>
  <c r="I26" i="25"/>
  <c r="U60" i="25"/>
  <c r="AB84" i="83" s="1"/>
  <c r="T60" i="25"/>
  <c r="AA84" i="83" s="1"/>
  <c r="R60" i="25"/>
  <c r="Y84" i="83" s="1"/>
  <c r="Q60" i="25"/>
  <c r="X84" i="83" s="1"/>
  <c r="O60" i="25"/>
  <c r="V84" i="83" s="1"/>
  <c r="N60" i="25"/>
  <c r="U84" i="83" s="1"/>
  <c r="L60" i="25"/>
  <c r="S84" i="83" s="1"/>
  <c r="K60" i="25"/>
  <c r="R84" i="83" s="1"/>
  <c r="E60" i="25"/>
  <c r="K84" i="83" s="1"/>
  <c r="D60" i="25"/>
  <c r="J84" i="83" s="1"/>
  <c r="C60" i="25"/>
  <c r="I84" i="83" s="1"/>
  <c r="B60" i="25"/>
  <c r="H84" i="83" s="1"/>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6" i="25"/>
  <c r="F60" i="25" s="1"/>
  <c r="I27" i="25" s="1"/>
  <c r="I26" i="24"/>
  <c r="U60" i="24"/>
  <c r="AB45" i="83" s="1"/>
  <c r="T60" i="24"/>
  <c r="AA45" i="83" s="1"/>
  <c r="R60" i="24"/>
  <c r="Y45" i="83" s="1"/>
  <c r="Q60" i="24"/>
  <c r="X45" i="83" s="1"/>
  <c r="O60" i="24"/>
  <c r="V45" i="83" s="1"/>
  <c r="N60" i="24"/>
  <c r="U45" i="83" s="1"/>
  <c r="L60" i="24"/>
  <c r="S45" i="83" s="1"/>
  <c r="K60" i="24"/>
  <c r="R45" i="83" s="1"/>
  <c r="E60" i="24"/>
  <c r="K45" i="83" s="1"/>
  <c r="D60" i="24"/>
  <c r="J45" i="83" s="1"/>
  <c r="C60" i="24"/>
  <c r="I45" i="83" s="1"/>
  <c r="B60" i="24"/>
  <c r="H45" i="83" s="1"/>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F60" i="24" s="1"/>
  <c r="I27" i="24" s="1"/>
  <c r="I26" i="23"/>
  <c r="U60" i="23"/>
  <c r="AB24" i="83" s="1"/>
  <c r="T60" i="23"/>
  <c r="AA24" i="83" s="1"/>
  <c r="R60" i="23"/>
  <c r="Y24" i="83" s="1"/>
  <c r="Q60" i="23"/>
  <c r="X24" i="83" s="1"/>
  <c r="O60" i="23"/>
  <c r="V24" i="83" s="1"/>
  <c r="N60" i="23"/>
  <c r="U24" i="83" s="1"/>
  <c r="L60" i="23"/>
  <c r="S24" i="83" s="1"/>
  <c r="K60" i="23"/>
  <c r="R24" i="83" s="1"/>
  <c r="E60" i="23"/>
  <c r="K24" i="83" s="1"/>
  <c r="D60" i="23"/>
  <c r="C60" i="23"/>
  <c r="I24" i="83" s="1"/>
  <c r="B60" i="23"/>
  <c r="H24" i="83" s="1"/>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9" i="23"/>
  <c r="F28" i="23"/>
  <c r="F27" i="23"/>
  <c r="F26" i="23"/>
  <c r="F25" i="23"/>
  <c r="F24" i="23"/>
  <c r="F23" i="23"/>
  <c r="F22" i="23"/>
  <c r="F21" i="23"/>
  <c r="F20" i="23"/>
  <c r="F19" i="23"/>
  <c r="F18" i="23"/>
  <c r="F17" i="23"/>
  <c r="F16" i="23"/>
  <c r="F15" i="23"/>
  <c r="F14" i="23"/>
  <c r="F13" i="23"/>
  <c r="F12" i="23"/>
  <c r="F11" i="23"/>
  <c r="F10" i="23"/>
  <c r="F9" i="23"/>
  <c r="F8" i="23"/>
  <c r="F7" i="23"/>
  <c r="F6" i="23"/>
  <c r="F60" i="23" s="1"/>
  <c r="I27" i="23" s="1"/>
  <c r="I26" i="22"/>
  <c r="U60" i="22"/>
  <c r="AB85" i="83" s="1"/>
  <c r="T60" i="22"/>
  <c r="AA85" i="83" s="1"/>
  <c r="R60" i="22"/>
  <c r="Y85" i="83" s="1"/>
  <c r="Q60" i="22"/>
  <c r="X85" i="83" s="1"/>
  <c r="O60" i="22"/>
  <c r="V85" i="83" s="1"/>
  <c r="N60" i="22"/>
  <c r="U85" i="83" s="1"/>
  <c r="L60" i="22"/>
  <c r="S85" i="83" s="1"/>
  <c r="K60" i="22"/>
  <c r="R85" i="83" s="1"/>
  <c r="E60" i="22"/>
  <c r="K85" i="83" s="1"/>
  <c r="D60" i="22"/>
  <c r="J85" i="83" s="1"/>
  <c r="C60" i="22"/>
  <c r="I85" i="83" s="1"/>
  <c r="B60" i="22"/>
  <c r="H85" i="83" s="1"/>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F60" i="22" s="1"/>
  <c r="I27" i="22" s="1"/>
  <c r="I26" i="21"/>
  <c r="U60" i="21"/>
  <c r="AB86" i="83" s="1"/>
  <c r="T60" i="21"/>
  <c r="AA86" i="83" s="1"/>
  <c r="R60" i="21"/>
  <c r="Y86" i="83" s="1"/>
  <c r="Q60" i="21"/>
  <c r="X86" i="83" s="1"/>
  <c r="O60" i="21"/>
  <c r="V86" i="83" s="1"/>
  <c r="N60" i="21"/>
  <c r="U86" i="83" s="1"/>
  <c r="L60" i="21"/>
  <c r="S86" i="83" s="1"/>
  <c r="K60" i="21"/>
  <c r="R86" i="83" s="1"/>
  <c r="E60" i="21"/>
  <c r="K86" i="83" s="1"/>
  <c r="D60" i="21"/>
  <c r="J86" i="83" s="1"/>
  <c r="C60" i="21"/>
  <c r="I86" i="83" s="1"/>
  <c r="B60" i="21"/>
  <c r="H86" i="83" s="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60" i="21" s="1"/>
  <c r="I27" i="21" s="1"/>
  <c r="I26" i="20"/>
  <c r="U60" i="20"/>
  <c r="T60" i="20"/>
  <c r="AA87" i="83" s="1"/>
  <c r="R60" i="20"/>
  <c r="Y87" i="83" s="1"/>
  <c r="Q60" i="20"/>
  <c r="X87" i="83" s="1"/>
  <c r="O60" i="20"/>
  <c r="V87" i="83" s="1"/>
  <c r="N60" i="20"/>
  <c r="U87" i="83" s="1"/>
  <c r="L60" i="20"/>
  <c r="S87" i="83" s="1"/>
  <c r="K60" i="20"/>
  <c r="R87" i="83" s="1"/>
  <c r="E60" i="20"/>
  <c r="K87" i="83" s="1"/>
  <c r="D60" i="20"/>
  <c r="J87" i="83" s="1"/>
  <c r="C60" i="20"/>
  <c r="I87" i="83" s="1"/>
  <c r="B60" i="20"/>
  <c r="H87" i="83" s="1"/>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60" i="20" s="1"/>
  <c r="I27" i="20" s="1"/>
  <c r="I26" i="19"/>
  <c r="U60" i="19"/>
  <c r="AB88" i="83" s="1"/>
  <c r="T60" i="19"/>
  <c r="AA88" i="83" s="1"/>
  <c r="R60" i="19"/>
  <c r="Y88" i="83" s="1"/>
  <c r="Q60" i="19"/>
  <c r="X88" i="83" s="1"/>
  <c r="O60" i="19"/>
  <c r="V88" i="83" s="1"/>
  <c r="N60" i="19"/>
  <c r="U88" i="83" s="1"/>
  <c r="L60" i="19"/>
  <c r="S88" i="83" s="1"/>
  <c r="K60" i="19"/>
  <c r="R88" i="83" s="1"/>
  <c r="E60" i="19"/>
  <c r="K88" i="83" s="1"/>
  <c r="D60" i="19"/>
  <c r="J88" i="83" s="1"/>
  <c r="C60" i="19"/>
  <c r="I88" i="83" s="1"/>
  <c r="B60" i="19"/>
  <c r="H88" i="83" s="1"/>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60" i="19" s="1"/>
  <c r="I27" i="19" s="1"/>
  <c r="I26" i="18"/>
  <c r="U60" i="18"/>
  <c r="AB10" i="83" s="1"/>
  <c r="T60" i="18"/>
  <c r="AA10" i="83" s="1"/>
  <c r="R60" i="18"/>
  <c r="Y10" i="83" s="1"/>
  <c r="Q60" i="18"/>
  <c r="X10" i="83" s="1"/>
  <c r="O60" i="18"/>
  <c r="V10" i="83" s="1"/>
  <c r="N60" i="18"/>
  <c r="U10" i="83" s="1"/>
  <c r="L60" i="18"/>
  <c r="S10" i="83" s="1"/>
  <c r="K60" i="18"/>
  <c r="R10" i="83" s="1"/>
  <c r="E60" i="18"/>
  <c r="K10" i="83" s="1"/>
  <c r="D60" i="18"/>
  <c r="J10" i="83" s="1"/>
  <c r="C60" i="18"/>
  <c r="B60" i="18"/>
  <c r="H10" i="83" s="1"/>
  <c r="F58" i="18"/>
  <c r="F57" i="18"/>
  <c r="F56" i="18"/>
  <c r="F55" i="18"/>
  <c r="F54" i="18"/>
  <c r="F53" i="18"/>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60" i="18" s="1"/>
  <c r="I27" i="18" s="1"/>
  <c r="I26" i="17"/>
  <c r="U60" i="17"/>
  <c r="AB47" i="83" s="1"/>
  <c r="T60" i="17"/>
  <c r="AA47" i="83" s="1"/>
  <c r="R60" i="17"/>
  <c r="Y47" i="83" s="1"/>
  <c r="Q60" i="17"/>
  <c r="X47" i="83" s="1"/>
  <c r="O60" i="17"/>
  <c r="V47" i="83" s="1"/>
  <c r="N60" i="17"/>
  <c r="U47" i="83" s="1"/>
  <c r="L60" i="17"/>
  <c r="S47" i="83" s="1"/>
  <c r="K60" i="17"/>
  <c r="R47" i="83" s="1"/>
  <c r="E60" i="17"/>
  <c r="K47" i="83" s="1"/>
  <c r="D60" i="17"/>
  <c r="J47" i="83" s="1"/>
  <c r="C60" i="17"/>
  <c r="I47" i="83" s="1"/>
  <c r="B60" i="17"/>
  <c r="H47" i="83" s="1"/>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60" i="17" s="1"/>
  <c r="I27" i="17" s="1"/>
  <c r="I26" i="16"/>
  <c r="U60" i="16"/>
  <c r="AB107" i="83" s="1"/>
  <c r="T60" i="16"/>
  <c r="AA107" i="83" s="1"/>
  <c r="R60" i="16"/>
  <c r="Y107" i="83" s="1"/>
  <c r="Q60" i="16"/>
  <c r="X107" i="83" s="1"/>
  <c r="O60" i="16"/>
  <c r="V107" i="83" s="1"/>
  <c r="N60" i="16"/>
  <c r="U107" i="83" s="1"/>
  <c r="L60" i="16"/>
  <c r="S107" i="83" s="1"/>
  <c r="K60" i="16"/>
  <c r="R107" i="83" s="1"/>
  <c r="E60" i="16"/>
  <c r="K107" i="83" s="1"/>
  <c r="D60" i="16"/>
  <c r="J107" i="83" s="1"/>
  <c r="C60" i="16"/>
  <c r="I107" i="83" s="1"/>
  <c r="B60" i="16"/>
  <c r="H107" i="83" s="1"/>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60" i="16" s="1"/>
  <c r="I27" i="16" s="1"/>
  <c r="I26" i="15"/>
  <c r="U60" i="15"/>
  <c r="AB108" i="83" s="1"/>
  <c r="T60" i="15"/>
  <c r="AA108" i="83" s="1"/>
  <c r="R60" i="15"/>
  <c r="Y108" i="83" s="1"/>
  <c r="Q60" i="15"/>
  <c r="X108" i="83" s="1"/>
  <c r="O60" i="15"/>
  <c r="V108" i="83" s="1"/>
  <c r="N60" i="15"/>
  <c r="U108" i="83" s="1"/>
  <c r="L60" i="15"/>
  <c r="S108" i="83" s="1"/>
  <c r="K60" i="15"/>
  <c r="R108" i="83" s="1"/>
  <c r="E60" i="15"/>
  <c r="K108" i="83" s="1"/>
  <c r="D60" i="15"/>
  <c r="J108" i="83" s="1"/>
  <c r="C60" i="15"/>
  <c r="I108" i="83" s="1"/>
  <c r="B60" i="15"/>
  <c r="H108" i="83" s="1"/>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60" i="15" s="1"/>
  <c r="I27" i="15" s="1"/>
  <c r="I26" i="14"/>
  <c r="U60" i="14"/>
  <c r="AB48" i="83" s="1"/>
  <c r="T60" i="14"/>
  <c r="AA48" i="83" s="1"/>
  <c r="R60" i="14"/>
  <c r="Y48" i="83" s="1"/>
  <c r="Q60" i="14"/>
  <c r="X48" i="83" s="1"/>
  <c r="O60" i="14"/>
  <c r="V48" i="83" s="1"/>
  <c r="N60" i="14"/>
  <c r="U48" i="83" s="1"/>
  <c r="L60" i="14"/>
  <c r="S48" i="83" s="1"/>
  <c r="K60" i="14"/>
  <c r="R48" i="83" s="1"/>
  <c r="E60" i="14"/>
  <c r="K48" i="83" s="1"/>
  <c r="D60" i="14"/>
  <c r="J48" i="83" s="1"/>
  <c r="C60" i="14"/>
  <c r="I48" i="83" s="1"/>
  <c r="B60" i="14"/>
  <c r="H48" i="83" s="1"/>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60" i="14" s="1"/>
  <c r="I27" i="14" s="1"/>
  <c r="I26" i="13"/>
  <c r="U60" i="13"/>
  <c r="AB89" i="83" s="1"/>
  <c r="T60" i="13"/>
  <c r="AA89" i="83" s="1"/>
  <c r="R60" i="13"/>
  <c r="Y89" i="83" s="1"/>
  <c r="Q60" i="13"/>
  <c r="X89" i="83" s="1"/>
  <c r="O60" i="13"/>
  <c r="V89" i="83" s="1"/>
  <c r="N60" i="13"/>
  <c r="U89" i="83" s="1"/>
  <c r="L60" i="13"/>
  <c r="S89" i="83" s="1"/>
  <c r="K60" i="13"/>
  <c r="R89" i="83" s="1"/>
  <c r="E60" i="13"/>
  <c r="K89" i="83" s="1"/>
  <c r="D60" i="13"/>
  <c r="J89" i="83" s="1"/>
  <c r="C60" i="13"/>
  <c r="I89" i="83" s="1"/>
  <c r="B60" i="13"/>
  <c r="H89" i="83" s="1"/>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60" i="13" s="1"/>
  <c r="I27" i="13" s="1"/>
  <c r="I26" i="12"/>
  <c r="U60" i="12"/>
  <c r="AB90" i="83" s="1"/>
  <c r="T60" i="12"/>
  <c r="AA90" i="83" s="1"/>
  <c r="R60" i="12"/>
  <c r="Y90" i="83" s="1"/>
  <c r="Q60" i="12"/>
  <c r="X90" i="83" s="1"/>
  <c r="O60" i="12"/>
  <c r="V90" i="83" s="1"/>
  <c r="N60" i="12"/>
  <c r="U90" i="83" s="1"/>
  <c r="L60" i="12"/>
  <c r="S90" i="83" s="1"/>
  <c r="K60" i="12"/>
  <c r="R90" i="83" s="1"/>
  <c r="E60" i="12"/>
  <c r="K90" i="83" s="1"/>
  <c r="D60" i="12"/>
  <c r="J90" i="83" s="1"/>
  <c r="C60" i="12"/>
  <c r="I90" i="83" s="1"/>
  <c r="B60" i="12"/>
  <c r="H90" i="83" s="1"/>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60" i="12" s="1"/>
  <c r="I27" i="12" s="1"/>
  <c r="I26" i="11"/>
  <c r="U60" i="11"/>
  <c r="AB91" i="83" s="1"/>
  <c r="T60" i="11"/>
  <c r="AA91" i="83" s="1"/>
  <c r="R60" i="11"/>
  <c r="Y91" i="83" s="1"/>
  <c r="Q60" i="11"/>
  <c r="X91" i="83" s="1"/>
  <c r="O60" i="11"/>
  <c r="V91" i="83" s="1"/>
  <c r="N60" i="11"/>
  <c r="U91" i="83" s="1"/>
  <c r="L60" i="11"/>
  <c r="S91" i="83" s="1"/>
  <c r="K60" i="11"/>
  <c r="R91" i="83" s="1"/>
  <c r="E60" i="11"/>
  <c r="K91" i="83" s="1"/>
  <c r="D60" i="11"/>
  <c r="J91" i="83" s="1"/>
  <c r="C60" i="11"/>
  <c r="I91" i="83" s="1"/>
  <c r="B60" i="11"/>
  <c r="H91" i="83" s="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60" i="11" s="1"/>
  <c r="I27" i="11" s="1"/>
  <c r="I26" i="10"/>
  <c r="U60" i="10"/>
  <c r="AB92" i="83" s="1"/>
  <c r="T60" i="10"/>
  <c r="AA92" i="83" s="1"/>
  <c r="R60" i="10"/>
  <c r="Y92" i="83" s="1"/>
  <c r="Q60" i="10"/>
  <c r="X92" i="83" s="1"/>
  <c r="O60" i="10"/>
  <c r="V92" i="83" s="1"/>
  <c r="N60" i="10"/>
  <c r="U92" i="83" s="1"/>
  <c r="L60" i="10"/>
  <c r="S92" i="83" s="1"/>
  <c r="K60" i="10"/>
  <c r="R92" i="83" s="1"/>
  <c r="E60" i="10"/>
  <c r="K92" i="83" s="1"/>
  <c r="D60" i="10"/>
  <c r="J92" i="83" s="1"/>
  <c r="C60" i="10"/>
  <c r="I92" i="83" s="1"/>
  <c r="B60" i="10"/>
  <c r="H92" i="83" s="1"/>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60" i="10" s="1"/>
  <c r="I27" i="10" s="1"/>
  <c r="I26" i="9"/>
  <c r="U60" i="9"/>
  <c r="AB94" i="83" s="1"/>
  <c r="T60" i="9"/>
  <c r="AA94" i="83" s="1"/>
  <c r="R60" i="9"/>
  <c r="Y94" i="83" s="1"/>
  <c r="Q60" i="9"/>
  <c r="X94" i="83" s="1"/>
  <c r="O60" i="9"/>
  <c r="V94" i="83" s="1"/>
  <c r="N60" i="9"/>
  <c r="U94" i="83" s="1"/>
  <c r="L60" i="9"/>
  <c r="S94" i="83" s="1"/>
  <c r="K60" i="9"/>
  <c r="R94" i="83" s="1"/>
  <c r="E60" i="9"/>
  <c r="K94" i="83" s="1"/>
  <c r="D60" i="9"/>
  <c r="J94" i="83" s="1"/>
  <c r="C60" i="9"/>
  <c r="I94" i="83" s="1"/>
  <c r="B60" i="9"/>
  <c r="H94" i="83" s="1"/>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60" i="9" s="1"/>
  <c r="I27" i="9" s="1"/>
  <c r="I26" i="8"/>
  <c r="U60" i="8"/>
  <c r="AB95" i="83" s="1"/>
  <c r="T60" i="8"/>
  <c r="AA95" i="83" s="1"/>
  <c r="R60" i="8"/>
  <c r="Y95" i="83" s="1"/>
  <c r="Q60" i="8"/>
  <c r="X95" i="83" s="1"/>
  <c r="O60" i="8"/>
  <c r="V95" i="83" s="1"/>
  <c r="N60" i="8"/>
  <c r="U95" i="83" s="1"/>
  <c r="L60" i="8"/>
  <c r="S95" i="83" s="1"/>
  <c r="K60" i="8"/>
  <c r="R95" i="83" s="1"/>
  <c r="E60" i="8"/>
  <c r="K95" i="83" s="1"/>
  <c r="D60" i="8"/>
  <c r="J95" i="83" s="1"/>
  <c r="C60" i="8"/>
  <c r="I95" i="83" s="1"/>
  <c r="B60"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60" i="8" s="1"/>
  <c r="I27" i="8" s="1"/>
  <c r="I26" i="7"/>
  <c r="U60" i="7"/>
  <c r="AB25" i="83" s="1"/>
  <c r="T60" i="7"/>
  <c r="AA25" i="83" s="1"/>
  <c r="R60" i="7"/>
  <c r="Y25" i="83" s="1"/>
  <c r="Q60" i="7"/>
  <c r="X25" i="83" s="1"/>
  <c r="O60" i="7"/>
  <c r="V25" i="83" s="1"/>
  <c r="N60" i="7"/>
  <c r="U25" i="83" s="1"/>
  <c r="L60" i="7"/>
  <c r="S25" i="83" s="1"/>
  <c r="K60" i="7"/>
  <c r="R25" i="83" s="1"/>
  <c r="E60" i="7"/>
  <c r="K25" i="83" s="1"/>
  <c r="D60" i="7"/>
  <c r="C60" i="7"/>
  <c r="I25" i="83" s="1"/>
  <c r="B60" i="7"/>
  <c r="H25" i="83" s="1"/>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60" i="7" s="1"/>
  <c r="I27" i="7" s="1"/>
  <c r="I26" i="6"/>
  <c r="U60" i="6"/>
  <c r="AB26" i="83" s="1"/>
  <c r="T60" i="6"/>
  <c r="AA26" i="83" s="1"/>
  <c r="R60" i="6"/>
  <c r="Y26" i="83" s="1"/>
  <c r="Q60" i="6"/>
  <c r="X26" i="83" s="1"/>
  <c r="O60" i="6"/>
  <c r="V26" i="83" s="1"/>
  <c r="N60" i="6"/>
  <c r="U26" i="83" s="1"/>
  <c r="L60" i="6"/>
  <c r="S26" i="83" s="1"/>
  <c r="K60" i="6"/>
  <c r="R26" i="83" s="1"/>
  <c r="E60" i="6"/>
  <c r="K26" i="83" s="1"/>
  <c r="D60" i="6"/>
  <c r="C60" i="6"/>
  <c r="I26" i="83" s="1"/>
  <c r="B60" i="6"/>
  <c r="H26" i="83" s="1"/>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60" i="6" s="1"/>
  <c r="I27" i="6" s="1"/>
  <c r="I26" i="5"/>
  <c r="U60" i="5"/>
  <c r="AB96" i="83" s="1"/>
  <c r="T60" i="5"/>
  <c r="AA96" i="83" s="1"/>
  <c r="R60" i="5"/>
  <c r="Y96" i="83" s="1"/>
  <c r="Q60" i="5"/>
  <c r="X96" i="83" s="1"/>
  <c r="O60" i="5"/>
  <c r="V96" i="83" s="1"/>
  <c r="N60" i="5"/>
  <c r="U96" i="83" s="1"/>
  <c r="L60" i="5"/>
  <c r="S96" i="83" s="1"/>
  <c r="K60" i="5"/>
  <c r="R96" i="83" s="1"/>
  <c r="E60" i="5"/>
  <c r="K96" i="83" s="1"/>
  <c r="D60" i="5"/>
  <c r="J96" i="83" s="1"/>
  <c r="C60" i="5"/>
  <c r="I96" i="83" s="1"/>
  <c r="B60" i="5"/>
  <c r="H96" i="83" s="1"/>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60" i="5" s="1"/>
  <c r="I27" i="5" s="1"/>
  <c r="I26" i="4"/>
  <c r="U60" i="4"/>
  <c r="AB49" i="83" s="1"/>
  <c r="T60" i="4"/>
  <c r="AA49" i="83" s="1"/>
  <c r="R60" i="4"/>
  <c r="Y49" i="83" s="1"/>
  <c r="Q60" i="4"/>
  <c r="X49" i="83" s="1"/>
  <c r="O60" i="4"/>
  <c r="V49" i="83" s="1"/>
  <c r="N60" i="4"/>
  <c r="U49" i="83" s="1"/>
  <c r="L60" i="4"/>
  <c r="S49" i="83" s="1"/>
  <c r="K60" i="4"/>
  <c r="R49" i="83" s="1"/>
  <c r="E60" i="4"/>
  <c r="K49" i="83" s="1"/>
  <c r="D60" i="4"/>
  <c r="J49" i="83" s="1"/>
  <c r="C60" i="4"/>
  <c r="I49" i="83" s="1"/>
  <c r="B60" i="4"/>
  <c r="H49" i="83" s="1"/>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60" i="4" s="1"/>
  <c r="I27" i="4" s="1"/>
  <c r="L60" i="89"/>
  <c r="R60" i="89"/>
  <c r="H60" i="89" l="1"/>
  <c r="D7" i="89"/>
  <c r="D8" i="89"/>
  <c r="D10" i="89"/>
  <c r="F37" i="88"/>
  <c r="F42" i="88"/>
  <c r="F48" i="88"/>
  <c r="F51" i="88"/>
  <c r="F53" i="88"/>
  <c r="F57" i="88"/>
  <c r="E7" i="89"/>
  <c r="E8" i="89"/>
  <c r="E9" i="89"/>
  <c r="E10" i="89"/>
  <c r="E11" i="89"/>
  <c r="E12" i="89"/>
  <c r="E13" i="89"/>
  <c r="E15" i="89"/>
  <c r="E16" i="89"/>
  <c r="E17" i="89"/>
  <c r="E18" i="89"/>
  <c r="E19" i="89"/>
  <c r="E20" i="89"/>
  <c r="E21" i="89"/>
  <c r="E22" i="89"/>
  <c r="E23" i="89"/>
  <c r="E32" i="89"/>
  <c r="E33" i="89"/>
  <c r="E34" i="89"/>
  <c r="F12" i="88"/>
  <c r="F16" i="88"/>
  <c r="F17" i="88"/>
  <c r="F23" i="88"/>
  <c r="F25" i="88"/>
  <c r="F47" i="88"/>
  <c r="F55" i="88"/>
  <c r="D9" i="89"/>
  <c r="F36" i="88"/>
  <c r="F38" i="88"/>
  <c r="F43" i="88"/>
  <c r="F50" i="88"/>
  <c r="F52" i="88"/>
  <c r="C60" i="88"/>
  <c r="C65" i="88" s="1"/>
  <c r="F15" i="88"/>
  <c r="F40" i="88"/>
  <c r="F45" i="88"/>
  <c r="F30" i="87"/>
  <c r="F12" i="87"/>
  <c r="F22" i="87"/>
  <c r="F23" i="87"/>
  <c r="F33" i="87"/>
  <c r="F54" i="87"/>
  <c r="F55" i="87"/>
  <c r="F36" i="87"/>
  <c r="F37" i="87"/>
  <c r="F43" i="87"/>
  <c r="D17" i="89"/>
  <c r="D18" i="89"/>
  <c r="D23" i="89"/>
  <c r="D24" i="89"/>
  <c r="D29" i="89"/>
  <c r="D31" i="89"/>
  <c r="F10" i="87"/>
  <c r="F28" i="87"/>
  <c r="F52" i="87"/>
  <c r="F6" i="86"/>
  <c r="D39" i="89"/>
  <c r="D40" i="89"/>
  <c r="D41" i="89"/>
  <c r="D42" i="89"/>
  <c r="D49" i="89"/>
  <c r="D50" i="89"/>
  <c r="D55" i="89"/>
  <c r="D56" i="89"/>
  <c r="F7" i="86"/>
  <c r="C35" i="89"/>
  <c r="C38" i="89"/>
  <c r="C39" i="89"/>
  <c r="C40" i="89"/>
  <c r="C41" i="89"/>
  <c r="C42" i="89"/>
  <c r="C44" i="89"/>
  <c r="C45" i="89"/>
  <c r="C47" i="89"/>
  <c r="C48" i="89"/>
  <c r="C49" i="89"/>
  <c r="C50" i="89"/>
  <c r="C52" i="89"/>
  <c r="C55" i="89"/>
  <c r="C56" i="89"/>
  <c r="C57" i="89"/>
  <c r="C58" i="89"/>
  <c r="D70" i="85"/>
  <c r="F7" i="85"/>
  <c r="F8" i="85"/>
  <c r="F9" i="85"/>
  <c r="F10" i="85"/>
  <c r="F12" i="85"/>
  <c r="F13" i="85"/>
  <c r="F14" i="85"/>
  <c r="F15" i="85"/>
  <c r="F16" i="85"/>
  <c r="F17" i="85"/>
  <c r="F18" i="85"/>
  <c r="F19" i="85"/>
  <c r="F20" i="85"/>
  <c r="F21" i="85"/>
  <c r="F22" i="85"/>
  <c r="F23" i="85"/>
  <c r="F24" i="85"/>
  <c r="F25" i="85"/>
  <c r="F26" i="85"/>
  <c r="F27" i="85"/>
  <c r="F28" i="85"/>
  <c r="F29" i="85"/>
  <c r="F30" i="85"/>
  <c r="F31" i="85"/>
  <c r="F33" i="85"/>
  <c r="F34" i="85"/>
  <c r="F35" i="85"/>
  <c r="F36" i="85"/>
  <c r="F37" i="85"/>
  <c r="F38" i="85"/>
  <c r="F39" i="85"/>
  <c r="F40" i="85"/>
  <c r="F41" i="85"/>
  <c r="F42" i="85"/>
  <c r="F44" i="85"/>
  <c r="F45" i="85"/>
  <c r="F46" i="85"/>
  <c r="F47" i="85"/>
  <c r="F48" i="85"/>
  <c r="F49" i="85"/>
  <c r="F50" i="85"/>
  <c r="F51" i="85"/>
  <c r="F52" i="85"/>
  <c r="F53" i="85"/>
  <c r="F54" i="85"/>
  <c r="F55" i="85"/>
  <c r="F56" i="85"/>
  <c r="F57" i="85"/>
  <c r="F58" i="85"/>
  <c r="E35" i="89"/>
  <c r="E36" i="89"/>
  <c r="E37" i="89"/>
  <c r="E39" i="89"/>
  <c r="E40" i="89"/>
  <c r="E41" i="89"/>
  <c r="E44" i="89"/>
  <c r="E45" i="89"/>
  <c r="E47" i="89"/>
  <c r="E48" i="89"/>
  <c r="E49" i="89"/>
  <c r="E50" i="89"/>
  <c r="E51" i="89"/>
  <c r="E52" i="89"/>
  <c r="E53" i="89"/>
  <c r="E54" i="89"/>
  <c r="E55" i="89"/>
  <c r="E56" i="89"/>
  <c r="E57" i="89"/>
  <c r="E58" i="89"/>
  <c r="F26" i="84"/>
  <c r="F10" i="84"/>
  <c r="F13" i="84"/>
  <c r="F45" i="84"/>
  <c r="D35" i="89"/>
  <c r="F42" i="84"/>
  <c r="F52" i="84"/>
  <c r="L61" i="83"/>
  <c r="I12" i="87" s="1"/>
  <c r="Y12" i="83"/>
  <c r="U28" i="83"/>
  <c r="L26" i="83"/>
  <c r="I16" i="85" s="1"/>
  <c r="L87" i="83"/>
  <c r="I38" i="87" s="1"/>
  <c r="L23" i="83"/>
  <c r="L21" i="83"/>
  <c r="I11" i="85" s="1"/>
  <c r="L19" i="83"/>
  <c r="O19" i="83" s="1"/>
  <c r="L71" i="83"/>
  <c r="O71" i="83" s="1"/>
  <c r="R28" i="83"/>
  <c r="L57" i="83"/>
  <c r="O57" i="83" s="1"/>
  <c r="I12" i="83"/>
  <c r="C69" i="84" s="1"/>
  <c r="AB12" i="83"/>
  <c r="I28" i="83"/>
  <c r="C69" i="85" s="1"/>
  <c r="S28" i="83"/>
  <c r="Y28" i="83"/>
  <c r="R51" i="83"/>
  <c r="L25" i="83"/>
  <c r="L24" i="83"/>
  <c r="O24" i="83" s="1"/>
  <c r="L22" i="83"/>
  <c r="I12" i="85" s="1"/>
  <c r="L20" i="83"/>
  <c r="L77" i="83"/>
  <c r="R110" i="83"/>
  <c r="L65" i="83"/>
  <c r="I16" i="87" s="1"/>
  <c r="O61" i="83"/>
  <c r="O87" i="83"/>
  <c r="I13" i="85"/>
  <c r="O23" i="83"/>
  <c r="I15" i="85"/>
  <c r="O25" i="83"/>
  <c r="I10" i="85"/>
  <c r="O20" i="83"/>
  <c r="O77" i="83"/>
  <c r="I28" i="87"/>
  <c r="F60" i="71"/>
  <c r="I27" i="71" s="1"/>
  <c r="K51" i="83"/>
  <c r="E69" i="86" s="1"/>
  <c r="E70" i="86" s="1"/>
  <c r="K12" i="83"/>
  <c r="B23" i="89"/>
  <c r="F23" i="84"/>
  <c r="D32" i="89"/>
  <c r="F32" i="84"/>
  <c r="E46" i="89"/>
  <c r="F46" i="84"/>
  <c r="C70" i="85"/>
  <c r="L49" i="83"/>
  <c r="L96" i="83"/>
  <c r="L92" i="83"/>
  <c r="L91" i="83"/>
  <c r="L89" i="83"/>
  <c r="L48" i="83"/>
  <c r="L45" i="83"/>
  <c r="L82" i="83"/>
  <c r="L81" i="83"/>
  <c r="F60" i="29"/>
  <c r="I27" i="29" s="1"/>
  <c r="L80" i="83"/>
  <c r="L105" i="83"/>
  <c r="L44" i="83"/>
  <c r="L41" i="83"/>
  <c r="F60" i="52"/>
  <c r="I27" i="52" s="1"/>
  <c r="F60" i="60"/>
  <c r="I27" i="60" s="1"/>
  <c r="X51" i="83"/>
  <c r="E6" i="89"/>
  <c r="E60" i="84"/>
  <c r="E65" i="84" s="1"/>
  <c r="F6" i="84"/>
  <c r="C19" i="89"/>
  <c r="F19" i="84"/>
  <c r="C21" i="89"/>
  <c r="F21" i="84"/>
  <c r="B26" i="89"/>
  <c r="C43" i="89"/>
  <c r="F43" i="84"/>
  <c r="B47" i="89"/>
  <c r="F47" i="84"/>
  <c r="X28" i="83"/>
  <c r="L63" i="83"/>
  <c r="F60" i="47"/>
  <c r="I27" i="47" s="1"/>
  <c r="F60" i="51"/>
  <c r="I27" i="51" s="1"/>
  <c r="F60" i="55"/>
  <c r="I27" i="55" s="1"/>
  <c r="F60" i="59"/>
  <c r="I27" i="59" s="1"/>
  <c r="L69" i="83"/>
  <c r="F60" i="63"/>
  <c r="I27" i="63" s="1"/>
  <c r="I110" i="83"/>
  <c r="C69" i="88" s="1"/>
  <c r="C70" i="88" s="1"/>
  <c r="F60" i="66"/>
  <c r="I27" i="66" s="1"/>
  <c r="F60" i="68"/>
  <c r="I27" i="68" s="1"/>
  <c r="K28" i="83"/>
  <c r="E69" i="85" s="1"/>
  <c r="E70" i="85" s="1"/>
  <c r="V28" i="83"/>
  <c r="AB28" i="83"/>
  <c r="F60" i="70"/>
  <c r="I27" i="70" s="1"/>
  <c r="I51" i="83"/>
  <c r="C69" i="86" s="1"/>
  <c r="C70" i="86" s="1"/>
  <c r="S51" i="83"/>
  <c r="I98" i="83"/>
  <c r="C69" i="87" s="1"/>
  <c r="S98" i="83"/>
  <c r="Y98" i="83"/>
  <c r="F50" i="84"/>
  <c r="S12" i="83"/>
  <c r="E14" i="89"/>
  <c r="F14" i="84"/>
  <c r="B33" i="89"/>
  <c r="F33" i="84"/>
  <c r="B34" i="89"/>
  <c r="B55" i="89"/>
  <c r="F55" i="84"/>
  <c r="B56" i="89"/>
  <c r="F56" i="84"/>
  <c r="L16" i="83"/>
  <c r="AA28" i="83"/>
  <c r="L67" i="83"/>
  <c r="F60" i="65"/>
  <c r="I27" i="65" s="1"/>
  <c r="K110" i="83"/>
  <c r="E69" i="88" s="1"/>
  <c r="B24" i="89"/>
  <c r="F24" i="84"/>
  <c r="B60" i="85"/>
  <c r="B65" i="85" s="1"/>
  <c r="F6" i="85"/>
  <c r="L95" i="83"/>
  <c r="D60" i="88"/>
  <c r="D65" i="88" s="1"/>
  <c r="F8" i="88"/>
  <c r="F60" i="86"/>
  <c r="F65" i="86" s="1"/>
  <c r="L94" i="83"/>
  <c r="L90" i="83"/>
  <c r="L108" i="83"/>
  <c r="L107" i="83"/>
  <c r="L47" i="83"/>
  <c r="L10" i="83"/>
  <c r="L88" i="83"/>
  <c r="L86" i="83"/>
  <c r="L85" i="83"/>
  <c r="L84" i="83"/>
  <c r="L83" i="83"/>
  <c r="L9" i="83"/>
  <c r="L79" i="83"/>
  <c r="L43" i="83"/>
  <c r="L42" i="83"/>
  <c r="L76" i="83"/>
  <c r="L75" i="83"/>
  <c r="F60" i="48"/>
  <c r="I27" i="48" s="1"/>
  <c r="F60" i="56"/>
  <c r="I27" i="56" s="1"/>
  <c r="F60" i="64"/>
  <c r="I27" i="64" s="1"/>
  <c r="C22" i="89"/>
  <c r="F22" i="84"/>
  <c r="B25" i="89"/>
  <c r="F25" i="84"/>
  <c r="E28" i="89"/>
  <c r="B48" i="89"/>
  <c r="F48" i="84"/>
  <c r="F60" i="46"/>
  <c r="I27" i="46" s="1"/>
  <c r="L73" i="83"/>
  <c r="F60" i="50"/>
  <c r="I27" i="50" s="1"/>
  <c r="J110" i="83"/>
  <c r="D69" i="88" s="1"/>
  <c r="F60" i="54"/>
  <c r="I27" i="54" s="1"/>
  <c r="F60" i="58"/>
  <c r="I27" i="58" s="1"/>
  <c r="F60" i="62"/>
  <c r="I27" i="62" s="1"/>
  <c r="U110" i="83"/>
  <c r="AA110" i="83"/>
  <c r="J51" i="83"/>
  <c r="D69" i="86" s="1"/>
  <c r="D70" i="86" s="1"/>
  <c r="U51" i="83"/>
  <c r="AA51" i="83"/>
  <c r="J12" i="83"/>
  <c r="U12" i="83"/>
  <c r="AA12" i="83"/>
  <c r="U98" i="83"/>
  <c r="AA98" i="83"/>
  <c r="F20" i="84"/>
  <c r="V12" i="83"/>
  <c r="C11" i="89"/>
  <c r="F11" i="84"/>
  <c r="C60" i="84"/>
  <c r="C65" i="84" s="1"/>
  <c r="B15" i="89"/>
  <c r="F15" i="84"/>
  <c r="B16" i="89"/>
  <c r="F16" i="84"/>
  <c r="C29" i="89"/>
  <c r="F29" i="84"/>
  <c r="C30" i="89"/>
  <c r="F30" i="84"/>
  <c r="E38" i="89"/>
  <c r="F38" i="84"/>
  <c r="C51" i="89"/>
  <c r="F51" i="84"/>
  <c r="C53" i="89"/>
  <c r="F53" i="84"/>
  <c r="C54" i="89"/>
  <c r="F54" i="84"/>
  <c r="B57" i="89"/>
  <c r="F57" i="84"/>
  <c r="B58" i="89"/>
  <c r="L17" i="83"/>
  <c r="L18" i="83"/>
  <c r="H28" i="83"/>
  <c r="B69" i="85" s="1"/>
  <c r="V51" i="83"/>
  <c r="I22" i="87"/>
  <c r="AB51" i="83"/>
  <c r="F60" i="73"/>
  <c r="I27" i="73" s="1"/>
  <c r="F60" i="75"/>
  <c r="I27" i="75" s="1"/>
  <c r="F60" i="77"/>
  <c r="I27" i="77" s="1"/>
  <c r="F60" i="79"/>
  <c r="I27" i="79" s="1"/>
  <c r="F60" i="81"/>
  <c r="I27" i="81" s="1"/>
  <c r="K98" i="83"/>
  <c r="E69" i="87" s="1"/>
  <c r="B7" i="89"/>
  <c r="F7" i="84"/>
  <c r="B8" i="89"/>
  <c r="B17" i="89"/>
  <c r="F17" i="84"/>
  <c r="B18" i="89"/>
  <c r="E29" i="89"/>
  <c r="D34" i="89"/>
  <c r="C36" i="89"/>
  <c r="B39" i="89"/>
  <c r="F39" i="89" s="1"/>
  <c r="F39" i="84"/>
  <c r="B40" i="89"/>
  <c r="C46" i="89"/>
  <c r="B49" i="89"/>
  <c r="F49" i="84"/>
  <c r="B50" i="89"/>
  <c r="Y51" i="83"/>
  <c r="Y112" i="83" s="1"/>
  <c r="H98" i="83"/>
  <c r="B69" i="87" s="1"/>
  <c r="L55" i="83"/>
  <c r="F29" i="87"/>
  <c r="F34" i="87"/>
  <c r="F35" i="87"/>
  <c r="F10" i="88"/>
  <c r="F11" i="88"/>
  <c r="F44" i="88"/>
  <c r="L74" i="83"/>
  <c r="L40" i="83"/>
  <c r="L39" i="83"/>
  <c r="L38" i="83"/>
  <c r="L37" i="83"/>
  <c r="L72" i="83"/>
  <c r="L104" i="83"/>
  <c r="L103" i="83"/>
  <c r="L36" i="83"/>
  <c r="L35" i="83"/>
  <c r="L70" i="83"/>
  <c r="L68" i="83"/>
  <c r="L66" i="83"/>
  <c r="X110" i="83"/>
  <c r="L32" i="83"/>
  <c r="H51" i="83"/>
  <c r="B69" i="86" s="1"/>
  <c r="B70" i="86" s="1"/>
  <c r="L8" i="83"/>
  <c r="H12" i="83"/>
  <c r="L7" i="83"/>
  <c r="R12" i="83"/>
  <c r="X12" i="83"/>
  <c r="R98" i="83"/>
  <c r="X98" i="83"/>
  <c r="F8" i="84"/>
  <c r="F40" i="84"/>
  <c r="C6" i="89"/>
  <c r="B9" i="89"/>
  <c r="F9" i="84"/>
  <c r="B10" i="89"/>
  <c r="D15" i="89"/>
  <c r="D16" i="89"/>
  <c r="D25" i="89"/>
  <c r="D26" i="89"/>
  <c r="B31" i="89"/>
  <c r="F31" i="89" s="1"/>
  <c r="F31" i="84"/>
  <c r="B32" i="89"/>
  <c r="C37" i="89"/>
  <c r="B41" i="89"/>
  <c r="F41" i="89" s="1"/>
  <c r="F41" i="84"/>
  <c r="B42" i="89"/>
  <c r="E43" i="89"/>
  <c r="D47" i="89"/>
  <c r="D48" i="89"/>
  <c r="D57" i="89"/>
  <c r="D58" i="89"/>
  <c r="L59" i="83"/>
  <c r="S110" i="83"/>
  <c r="Y110" i="83"/>
  <c r="J98" i="83"/>
  <c r="D69" i="87" s="1"/>
  <c r="N112" i="83"/>
  <c r="D6" i="89"/>
  <c r="C7" i="89"/>
  <c r="C8" i="89"/>
  <c r="D11" i="89"/>
  <c r="D12" i="89"/>
  <c r="B13" i="89"/>
  <c r="B14" i="89"/>
  <c r="B19" i="89"/>
  <c r="B20" i="89"/>
  <c r="D21" i="89"/>
  <c r="D22" i="89"/>
  <c r="D27" i="89"/>
  <c r="D28" i="89"/>
  <c r="B29" i="89"/>
  <c r="B30" i="89"/>
  <c r="B35" i="89"/>
  <c r="F35" i="89" s="1"/>
  <c r="B36" i="89"/>
  <c r="D37" i="89"/>
  <c r="D38" i="89"/>
  <c r="E42" i="89"/>
  <c r="D43" i="89"/>
  <c r="D44" i="89"/>
  <c r="B45" i="89"/>
  <c r="B46" i="89"/>
  <c r="B51" i="89"/>
  <c r="B52" i="89"/>
  <c r="D53" i="89"/>
  <c r="D54" i="89"/>
  <c r="D60" i="84"/>
  <c r="D65" i="84" s="1"/>
  <c r="L102" i="83"/>
  <c r="H110" i="83"/>
  <c r="B69" i="88" s="1"/>
  <c r="V110" i="83"/>
  <c r="AB110" i="83"/>
  <c r="L64" i="83"/>
  <c r="L34" i="83"/>
  <c r="L33" i="83"/>
  <c r="L62" i="83"/>
  <c r="L60" i="83"/>
  <c r="L58" i="83"/>
  <c r="L56" i="83"/>
  <c r="V98" i="83"/>
  <c r="AB98" i="83"/>
  <c r="L93" i="83"/>
  <c r="B6" i="89"/>
  <c r="C9" i="89"/>
  <c r="C10" i="89"/>
  <c r="B11" i="89"/>
  <c r="B12" i="89"/>
  <c r="D13" i="89"/>
  <c r="D14" i="89"/>
  <c r="D19" i="89"/>
  <c r="D20" i="89"/>
  <c r="B21" i="89"/>
  <c r="B22" i="89"/>
  <c r="B27" i="89"/>
  <c r="B28" i="89"/>
  <c r="D30" i="89"/>
  <c r="D36" i="89"/>
  <c r="B37" i="89"/>
  <c r="B38" i="89"/>
  <c r="B43" i="89"/>
  <c r="B44" i="89"/>
  <c r="D45" i="89"/>
  <c r="D46" i="89"/>
  <c r="D51" i="89"/>
  <c r="D52" i="89"/>
  <c r="B53" i="89"/>
  <c r="B54" i="89"/>
  <c r="B60" i="84"/>
  <c r="B65" i="84" s="1"/>
  <c r="D60" i="87"/>
  <c r="D65" i="87" s="1"/>
  <c r="D70" i="87" s="1"/>
  <c r="F15" i="87"/>
  <c r="F56" i="87"/>
  <c r="F57" i="87"/>
  <c r="E60" i="87"/>
  <c r="E65" i="87" s="1"/>
  <c r="F48" i="87"/>
  <c r="F49" i="87"/>
  <c r="C60" i="87"/>
  <c r="C65" i="87" s="1"/>
  <c r="F39" i="87"/>
  <c r="F58" i="87"/>
  <c r="B60" i="88"/>
  <c r="B65" i="88" s="1"/>
  <c r="B70" i="88" s="1"/>
  <c r="F6" i="88"/>
  <c r="F20" i="88"/>
  <c r="F21" i="88"/>
  <c r="F34" i="88"/>
  <c r="F24" i="87"/>
  <c r="F18" i="87"/>
  <c r="F40" i="87"/>
  <c r="F22" i="88"/>
  <c r="F58" i="88"/>
  <c r="B60" i="87"/>
  <c r="B65" i="87" s="1"/>
  <c r="F8" i="87"/>
  <c r="F50" i="87"/>
  <c r="F18" i="88"/>
  <c r="F26" i="88"/>
  <c r="F27" i="88"/>
  <c r="F54" i="88"/>
  <c r="F14" i="88"/>
  <c r="F30" i="88"/>
  <c r="F46" i="88"/>
  <c r="E60" i="88"/>
  <c r="E65" i="88" s="1"/>
  <c r="I60" i="89"/>
  <c r="F18" i="89" l="1"/>
  <c r="F33" i="89"/>
  <c r="F23" i="89"/>
  <c r="F50" i="89"/>
  <c r="F40" i="89"/>
  <c r="F17" i="89"/>
  <c r="F24" i="89"/>
  <c r="F57" i="89"/>
  <c r="F49" i="89"/>
  <c r="F56" i="89"/>
  <c r="F54" i="89"/>
  <c r="F13" i="89"/>
  <c r="F44" i="89"/>
  <c r="F42" i="89"/>
  <c r="F25" i="89"/>
  <c r="F55" i="89"/>
  <c r="F27" i="89"/>
  <c r="F26" i="89"/>
  <c r="F22" i="89"/>
  <c r="F43" i="89"/>
  <c r="F20" i="89"/>
  <c r="F9" i="89"/>
  <c r="F29" i="89"/>
  <c r="O65" i="83"/>
  <c r="C70" i="87"/>
  <c r="C70" i="84"/>
  <c r="I9" i="85"/>
  <c r="O22" i="83"/>
  <c r="O26" i="83"/>
  <c r="AA112" i="83"/>
  <c r="I8" i="87"/>
  <c r="I14" i="85"/>
  <c r="E70" i="88"/>
  <c r="E70" i="87"/>
  <c r="B70" i="85"/>
  <c r="O21" i="83"/>
  <c r="AB112" i="83"/>
  <c r="F52" i="89"/>
  <c r="O59" i="83"/>
  <c r="I10" i="87"/>
  <c r="I19" i="87"/>
  <c r="O68" i="83"/>
  <c r="I7" i="88"/>
  <c r="O103" i="83"/>
  <c r="O38" i="83"/>
  <c r="I12" i="86"/>
  <c r="L98" i="83"/>
  <c r="F69" i="87" s="1"/>
  <c r="O55" i="83"/>
  <c r="I6" i="87"/>
  <c r="F7" i="89"/>
  <c r="O43" i="83"/>
  <c r="I17" i="86"/>
  <c r="O10" i="83"/>
  <c r="I9" i="84"/>
  <c r="O90" i="83"/>
  <c r="I41" i="87"/>
  <c r="O41" i="83"/>
  <c r="I15" i="86"/>
  <c r="O48" i="83"/>
  <c r="I22" i="86"/>
  <c r="F60" i="87"/>
  <c r="F65" i="87" s="1"/>
  <c r="F21" i="89"/>
  <c r="I11" i="87"/>
  <c r="O60" i="83"/>
  <c r="O33" i="83"/>
  <c r="I7" i="86"/>
  <c r="F51" i="89"/>
  <c r="F36" i="89"/>
  <c r="D60" i="89"/>
  <c r="C60" i="89"/>
  <c r="H112" i="83"/>
  <c r="B69" i="84"/>
  <c r="B70" i="84" s="1"/>
  <c r="L51" i="83"/>
  <c r="F69" i="86" s="1"/>
  <c r="F70" i="86" s="1"/>
  <c r="I6" i="86"/>
  <c r="O32" i="83"/>
  <c r="I21" i="87"/>
  <c r="O70" i="83"/>
  <c r="O39" i="83"/>
  <c r="I13" i="86"/>
  <c r="I7" i="85"/>
  <c r="O17" i="83"/>
  <c r="F15" i="89"/>
  <c r="V112" i="83"/>
  <c r="U112" i="83"/>
  <c r="O69" i="83"/>
  <c r="I20" i="87"/>
  <c r="F47" i="89"/>
  <c r="F60" i="84"/>
  <c r="F65" i="84" s="1"/>
  <c r="O44" i="83"/>
  <c r="I18" i="86"/>
  <c r="I32" i="87"/>
  <c r="O81" i="83"/>
  <c r="O89" i="83"/>
  <c r="I40" i="87"/>
  <c r="O49" i="83"/>
  <c r="I23" i="86"/>
  <c r="B70" i="87"/>
  <c r="F38" i="89"/>
  <c r="F28" i="89"/>
  <c r="F12" i="89"/>
  <c r="F6" i="89"/>
  <c r="B60" i="89"/>
  <c r="I13" i="87"/>
  <c r="O62" i="83"/>
  <c r="O34" i="83"/>
  <c r="I8" i="86"/>
  <c r="F46" i="89"/>
  <c r="F19" i="89"/>
  <c r="F10" i="89"/>
  <c r="X112" i="83"/>
  <c r="O35" i="83"/>
  <c r="I9" i="86"/>
  <c r="I23" i="87"/>
  <c r="O72" i="83"/>
  <c r="O40" i="83"/>
  <c r="I14" i="86"/>
  <c r="F8" i="89"/>
  <c r="F58" i="89"/>
  <c r="J112" i="83"/>
  <c r="D69" i="84"/>
  <c r="D70" i="84" s="1"/>
  <c r="O73" i="83"/>
  <c r="I24" i="87"/>
  <c r="F48" i="89"/>
  <c r="I27" i="87"/>
  <c r="O76" i="83"/>
  <c r="O9" i="83"/>
  <c r="I8" i="84"/>
  <c r="O86" i="83"/>
  <c r="I37" i="87"/>
  <c r="I11" i="88"/>
  <c r="O107" i="83"/>
  <c r="I26" i="86"/>
  <c r="O95" i="83"/>
  <c r="I46" i="87"/>
  <c r="O63" i="83"/>
  <c r="I14" i="87"/>
  <c r="I9" i="88"/>
  <c r="O105" i="83"/>
  <c r="I33" i="87"/>
  <c r="O82" i="83"/>
  <c r="O91" i="83"/>
  <c r="I42" i="87"/>
  <c r="K112" i="83"/>
  <c r="E69" i="84"/>
  <c r="E70" i="84" s="1"/>
  <c r="I9" i="87"/>
  <c r="O58" i="83"/>
  <c r="L12" i="83"/>
  <c r="O7" i="83"/>
  <c r="I6" i="84"/>
  <c r="I8" i="85"/>
  <c r="O18" i="83"/>
  <c r="O84" i="83"/>
  <c r="I35" i="87"/>
  <c r="D70" i="88"/>
  <c r="I6" i="85"/>
  <c r="O16" i="83"/>
  <c r="L28" i="83"/>
  <c r="F69" i="85" s="1"/>
  <c r="O96" i="83"/>
  <c r="I47" i="87"/>
  <c r="F60" i="88"/>
  <c r="F65" i="88" s="1"/>
  <c r="I8" i="88"/>
  <c r="O104" i="83"/>
  <c r="O75" i="83"/>
  <c r="I26" i="87"/>
  <c r="I30" i="87"/>
  <c r="O79" i="83"/>
  <c r="O85" i="83"/>
  <c r="I36" i="87"/>
  <c r="O47" i="83"/>
  <c r="I21" i="86"/>
  <c r="O94" i="83"/>
  <c r="I45" i="87"/>
  <c r="O67" i="83"/>
  <c r="I18" i="87"/>
  <c r="F34" i="89"/>
  <c r="F53" i="89"/>
  <c r="F37" i="89"/>
  <c r="F11" i="89"/>
  <c r="O93" i="83"/>
  <c r="I44" i="87"/>
  <c r="I7" i="87"/>
  <c r="O56" i="83"/>
  <c r="I15" i="87"/>
  <c r="O64" i="83"/>
  <c r="L110" i="83"/>
  <c r="F69" i="88" s="1"/>
  <c r="I6" i="88"/>
  <c r="O102" i="83"/>
  <c r="F45" i="89"/>
  <c r="F30" i="89"/>
  <c r="F14" i="89"/>
  <c r="F32" i="89"/>
  <c r="R112" i="83"/>
  <c r="O8" i="83"/>
  <c r="I7" i="84"/>
  <c r="I17" i="87"/>
  <c r="O66" i="83"/>
  <c r="O36" i="83"/>
  <c r="I10" i="86"/>
  <c r="O37" i="83"/>
  <c r="I11" i="86"/>
  <c r="I25" i="87"/>
  <c r="O74" i="83"/>
  <c r="F16" i="89"/>
  <c r="O42" i="83"/>
  <c r="I16" i="86"/>
  <c r="O83" i="83"/>
  <c r="I34" i="87"/>
  <c r="O88" i="83"/>
  <c r="I39" i="87"/>
  <c r="I12" i="88"/>
  <c r="O108" i="83"/>
  <c r="F60" i="85"/>
  <c r="F65" i="85" s="1"/>
  <c r="S112" i="83"/>
  <c r="E60" i="89"/>
  <c r="I31" i="87"/>
  <c r="O80" i="83"/>
  <c r="O45" i="83"/>
  <c r="I19" i="86"/>
  <c r="O92" i="83"/>
  <c r="I43" i="87"/>
  <c r="I112" i="83"/>
  <c r="O28" i="83" l="1"/>
  <c r="I18" i="85"/>
  <c r="F69" i="84"/>
  <c r="F70" i="84" s="1"/>
  <c r="L112" i="83"/>
  <c r="F60" i="89"/>
  <c r="O98" i="83"/>
  <c r="F70" i="85"/>
  <c r="I19" i="85"/>
  <c r="I14" i="88"/>
  <c r="I11" i="84"/>
  <c r="I25" i="86"/>
  <c r="I27" i="86" s="1"/>
  <c r="F70" i="87"/>
  <c r="I50" i="87"/>
  <c r="O110" i="83"/>
  <c r="I15" i="88"/>
  <c r="F70" i="88"/>
  <c r="O12" i="83"/>
  <c r="I12" i="84"/>
  <c r="O51" i="83"/>
  <c r="I49" i="87"/>
  <c r="I20" i="85" l="1"/>
  <c r="I13" i="84"/>
  <c r="I16" i="88"/>
  <c r="I51" i="87"/>
  <c r="O112" i="83"/>
</calcChain>
</file>

<file path=xl/comments1.xml><?xml version="1.0" encoding="utf-8"?>
<comments xmlns="http://schemas.openxmlformats.org/spreadsheetml/2006/main">
  <authors>
    <author>Paul Peterson</author>
  </authors>
  <commentList>
    <comment ref="E850" authorId="0">
      <text>
        <r>
          <rPr>
            <b/>
            <sz val="8"/>
            <color indexed="81"/>
            <rFont val="Tahoma"/>
            <family val="2"/>
          </rPr>
          <t>Paul Peterson:</t>
        </r>
        <r>
          <rPr>
            <sz val="8"/>
            <color indexed="81"/>
            <rFont val="Tahoma"/>
            <family val="2"/>
          </rPr>
          <t xml:space="preserve">
corrected from ind prpt</t>
        </r>
      </text>
    </comment>
  </commentList>
</comments>
</file>

<file path=xl/sharedStrings.xml><?xml version="1.0" encoding="utf-8"?>
<sst xmlns="http://schemas.openxmlformats.org/spreadsheetml/2006/main" count="9747" uniqueCount="442">
  <si>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</si>
  <si>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</si>
  <si>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</si>
  <si>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</si>
  <si>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</si>
  <si>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</si>
  <si>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</si>
  <si>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</si>
  <si>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</si>
  <si>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</si>
  <si>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</si>
  <si>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</si>
  <si>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</si>
  <si>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</si>
  <si>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</si>
  <si>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</si>
  <si>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</si>
  <si>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</si>
  <si>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</si>
  <si>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</si>
  <si>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</si>
  <si>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</si>
  <si>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</si>
  <si>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</si>
  <si>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</si>
  <si>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</si>
  <si>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</si>
  <si>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</si>
  <si>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</si>
  <si>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</si>
  <si>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</si>
  <si>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</si>
  <si>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</si>
  <si>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</si>
  <si>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</si>
  <si>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</si>
  <si>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</si>
  <si>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</si>
  <si>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</si>
  <si>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</si>
  <si>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</si>
  <si>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</si>
  <si>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</si>
  <si>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</si>
  <si>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</si>
  <si>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</si>
  <si>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</si>
  <si>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</si>
  <si>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</si>
  <si>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</si>
  <si>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</si>
  <si>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</si>
  <si>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</si>
  <si>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Villanova Insurance Company</t>
  </si>
  <si>
    <r>
      <t xml:space="preserve">Estimated Net Costs as of </t>
    </r>
    <r>
      <rPr>
        <b/>
        <sz val="11"/>
        <color indexed="10"/>
        <rFont val="Calibri"/>
        <family val="2"/>
      </rPr>
      <t>September 30, 2013</t>
    </r>
  </si>
  <si>
    <t>Life</t>
  </si>
  <si>
    <t>Allocated Annuity</t>
  </si>
  <si>
    <t>A&amp;H</t>
  </si>
  <si>
    <t>Unallocated Annuity</t>
  </si>
  <si>
    <t>Total</t>
  </si>
  <si>
    <t>Assessments Called (i.e. Billed)</t>
  </si>
  <si>
    <t>Assessments Refunded</t>
  </si>
  <si>
    <r>
      <t xml:space="preserve">Assessments Called (Billed) or Refunded as of </t>
    </r>
    <r>
      <rPr>
        <b/>
        <sz val="11"/>
        <color indexed="10"/>
        <rFont val="Calibri"/>
        <family val="2"/>
      </rPr>
      <t>December 31, 2012</t>
    </r>
  </si>
  <si>
    <t>Assessment information is compiled annually from state guaranty associations.  This information is NOT audited or verified by NOLHGA.  NOLHGA cannot comment as to the completeness nor accuracy of the information shown herein.  Any such inquiries should be directed to each individual state guaranty association.</t>
  </si>
  <si>
    <t>Summary:</t>
  </si>
  <si>
    <t>GA Covered Obligations</t>
  </si>
  <si>
    <t>Add:</t>
  </si>
  <si>
    <t xml:space="preserve">  GA claims incurred directly</t>
  </si>
  <si>
    <t xml:space="preserve">  GA expenses incurred directly</t>
  </si>
  <si>
    <t xml:space="preserve">  NOLHGA expenses</t>
  </si>
  <si>
    <t xml:space="preserve">  Remaining Inforce estimate</t>
  </si>
  <si>
    <t>Less:</t>
  </si>
  <si>
    <t xml:space="preserve">  Estate/other distributions</t>
  </si>
  <si>
    <t xml:space="preserve">  Other adjustments</t>
  </si>
  <si>
    <t xml:space="preserve">  Ceding commissions/</t>
  </si>
  <si>
    <t xml:space="preserve">        policy enhancements</t>
  </si>
  <si>
    <t xml:space="preserve">  Other recoveries (litigation,</t>
  </si>
  <si>
    <t xml:space="preserve">        estate distributions, etc.)</t>
  </si>
  <si>
    <t>Adjusted GA Costs</t>
  </si>
  <si>
    <t>Per State breakdown</t>
  </si>
  <si>
    <t>Universe Life Insurance Company</t>
  </si>
  <si>
    <t>Universal Life Insurance Company</t>
  </si>
  <si>
    <t>Universal Health Care Insurance Company, Inc.</t>
  </si>
  <si>
    <t>United Republic Life Insurance Company</t>
  </si>
  <si>
    <t>Unison International Life Insurance Company</t>
  </si>
  <si>
    <t>Supreme Life Insurance Company of America</t>
  </si>
  <si>
    <t>Summit National Life Insurance Company</t>
  </si>
  <si>
    <t>Statesman National Life Insurance Company</t>
  </si>
  <si>
    <t>States General Life Insurance Company</t>
  </si>
  <si>
    <t>Standard Life Insurance Company of Indiana</t>
  </si>
  <si>
    <t>Shenandoah Life Insurance Company</t>
  </si>
  <si>
    <t>Settlers Life Insurance Company</t>
  </si>
  <si>
    <t>Reliance Insurance Company</t>
  </si>
  <si>
    <t>Penn Treaty Network America Insurance Company</t>
  </si>
  <si>
    <t>Pacific Standard Life Insurance Company</t>
  </si>
  <si>
    <t>Old Faithful Life Insurance Company</t>
  </si>
  <si>
    <t>Old Colony Life Insurance Company</t>
  </si>
  <si>
    <t>New Jersey Life Insurance Company</t>
  </si>
  <si>
    <t>National States Insurance Company</t>
  </si>
  <si>
    <t>National Heritage Life Insurance Company</t>
  </si>
  <si>
    <t>National American Life Insurance Co of Pennsylvania</t>
  </si>
  <si>
    <t>National Affiliated Investors Life Insurance Company</t>
  </si>
  <si>
    <t>Mutual Security Life Insurance Company</t>
  </si>
  <si>
    <t>Mutual Benefit Life Insurance Company</t>
  </si>
  <si>
    <t>Monarch Life Insurance Company</t>
  </si>
  <si>
    <t>Midwest Life Insurance Company</t>
  </si>
  <si>
    <t>Mid-Continent Life Insurance Company</t>
  </si>
  <si>
    <t>Memorial Service Life Insurance Company</t>
  </si>
  <si>
    <t>Medical Savings Insurance Company</t>
  </si>
  <si>
    <t>Lumbermens Mutual Casualty Company</t>
  </si>
  <si>
    <t>London Pacific Life &amp; Annuity Company</t>
  </si>
  <si>
    <t>Lincoln Memorial Life Insurance Company</t>
  </si>
  <si>
    <t>Life &amp; Health Insurance Company of America</t>
  </si>
  <si>
    <t>Legion Insurance Company</t>
  </si>
  <si>
    <t>Kentucky Central Life Insurance Company</t>
  </si>
  <si>
    <t>Investors Equity Life Insurance Company of Hawaii, LTD</t>
  </si>
  <si>
    <t>Investment Life Insurance Company of America</t>
  </si>
  <si>
    <t>International Financial Services Life Insurance Company</t>
  </si>
  <si>
    <t>Inter-American Insurance Company of Illinois</t>
  </si>
  <si>
    <t>Imerica Life and Health Insurance Company</t>
  </si>
  <si>
    <t>Guarantee Security Life Insurance Company</t>
  </si>
  <si>
    <t>Golden State Mutual Life Insurance Company</t>
  </si>
  <si>
    <t>George Washington Life Insurance Company</t>
  </si>
  <si>
    <t>Franklin Protective Life Insurance Company</t>
  </si>
  <si>
    <t>Franklin American Life Insurance Company</t>
  </si>
  <si>
    <t>First National Life Insurance Company of America</t>
  </si>
  <si>
    <t>First National Life Insurance Company</t>
  </si>
  <si>
    <t>First Capital Life Insurance Company</t>
  </si>
  <si>
    <t>Fidelity Mutual Life Insurance Company</t>
  </si>
  <si>
    <t>Fidelity Bankers Life Insurance Company</t>
  </si>
  <si>
    <t>Farmers and Ranchers Life Insurance Company</t>
  </si>
  <si>
    <t>Family Guaranty Life Insurance Company</t>
  </si>
  <si>
    <t>Executive Life Insurance Company of New York</t>
  </si>
  <si>
    <t>Executive Life Insurance Company</t>
  </si>
  <si>
    <t>EBL Life Insurance Company</t>
  </si>
  <si>
    <t>Diamond Benefits Life Insurance Company/Life Assurance Company of Pennsylvania</t>
  </si>
  <si>
    <t>Corporate Life Insurance Company</t>
  </si>
  <si>
    <t>Consumers United Insurance Company</t>
  </si>
  <si>
    <t>Consolidated National Life Insurance Company</t>
  </si>
  <si>
    <t>Confederation Life Insurance Company (CLIC)</t>
  </si>
  <si>
    <t>Confederation Life Insurance &amp; Annuity Co (CLIAC)</t>
  </si>
  <si>
    <t>Coastal States Life Insurance Company</t>
  </si>
  <si>
    <t>Centennial Life Insurance Company</t>
  </si>
  <si>
    <t>Booker T Washington Insurance Company, Inc.</t>
  </si>
  <si>
    <t>Benicorp Insurance Company</t>
  </si>
  <si>
    <t>Bankers Commercial Life Insurance Company</t>
  </si>
  <si>
    <t>Andrew Jackson Life Insurance Company</t>
  </si>
  <si>
    <t>AMS Life Insurance Company</t>
  </si>
  <si>
    <t>American Western Life Insurance Company</t>
  </si>
  <si>
    <t>American Standard Life &amp; Accident Insurance Company</t>
  </si>
  <si>
    <t>American Network Insurance Company</t>
  </si>
  <si>
    <t>American Life Assurance Corporation</t>
  </si>
  <si>
    <t>American Integrity Insurance Company</t>
  </si>
  <si>
    <t>American Educators Life Insurance Company</t>
  </si>
  <si>
    <t>American Community Mutual Insurance Company</t>
  </si>
  <si>
    <t>American Chambers Life Insurance Company</t>
  </si>
  <si>
    <t>Alabama Life Insurance Company</t>
  </si>
  <si>
    <t>Underwriters Life Insurance Company</t>
  </si>
  <si>
    <t>NAIC Code</t>
  </si>
  <si>
    <t>Domicile</t>
  </si>
  <si>
    <t>Rehabilitation Date</t>
  </si>
  <si>
    <t>Liquidation Date</t>
  </si>
  <si>
    <t>Estate Closing Date</t>
  </si>
  <si>
    <t>Total Report 2013</t>
  </si>
  <si>
    <t>Total Report 2012</t>
  </si>
  <si>
    <t>Change</t>
  </si>
  <si>
    <t>Overview "Pre-Liquidation" Insolvencies</t>
  </si>
  <si>
    <t>State Breakdown Not Available</t>
  </si>
  <si>
    <t>American Community Mutual Ins. Co.</t>
  </si>
  <si>
    <t xml:space="preserve">60305     </t>
  </si>
  <si>
    <t>MI</t>
  </si>
  <si>
    <t>American Network Ins. Co.</t>
  </si>
  <si>
    <t xml:space="preserve">81078     </t>
  </si>
  <si>
    <t>PA</t>
  </si>
  <si>
    <t>Monarch Life Ins. Co.</t>
  </si>
  <si>
    <t xml:space="preserve">66265     </t>
  </si>
  <si>
    <t>MA</t>
  </si>
  <si>
    <t>Penn Treaty Network</t>
  </si>
  <si>
    <t xml:space="preserve">63282     </t>
  </si>
  <si>
    <t xml:space="preserve">Total "Pre-Liquidation" </t>
  </si>
  <si>
    <t>None</t>
  </si>
  <si>
    <t>Industry Summary</t>
  </si>
  <si>
    <t>Per state breakdown</t>
  </si>
  <si>
    <t>Pre-Liquidation Insolvencies Summary by State</t>
  </si>
  <si>
    <t>Allocated</t>
  </si>
  <si>
    <t>Unallocated</t>
  </si>
  <si>
    <t>Annuity</t>
  </si>
  <si>
    <t>Overview "Open" Insolvencies</t>
  </si>
  <si>
    <t>Booker T Washington Ins Co Inc</t>
  </si>
  <si>
    <t xml:space="preserve">61468     </t>
  </si>
  <si>
    <t>AL</t>
  </si>
  <si>
    <t>Executive Life Ins. Co.</t>
  </si>
  <si>
    <t xml:space="preserve">63010     </t>
  </si>
  <si>
    <t>CA</t>
  </si>
  <si>
    <t>Executive Life Ins. Co. of New York</t>
  </si>
  <si>
    <t xml:space="preserve">61913     </t>
  </si>
  <si>
    <t>NY</t>
  </si>
  <si>
    <t>Imerica Life and Health Ins. Co.</t>
  </si>
  <si>
    <t xml:space="preserve">63533     </t>
  </si>
  <si>
    <t>AR</t>
  </si>
  <si>
    <t>Life &amp; Health Ins. Co. of America</t>
  </si>
  <si>
    <t xml:space="preserve">77887     </t>
  </si>
  <si>
    <t>Lincoln Memorial Life Ins. Co.</t>
  </si>
  <si>
    <t xml:space="preserve">69833     </t>
  </si>
  <si>
    <t>TX</t>
  </si>
  <si>
    <t>Medical Savings Ins. Co.</t>
  </si>
  <si>
    <t xml:space="preserve">74217A    </t>
  </si>
  <si>
    <t>IN</t>
  </si>
  <si>
    <t>Memorial Service Life Ins. Co.</t>
  </si>
  <si>
    <t xml:space="preserve">74926     </t>
  </si>
  <si>
    <t>National States Ins. Co.</t>
  </si>
  <si>
    <t xml:space="preserve">60593     </t>
  </si>
  <si>
    <t>MO</t>
  </si>
  <si>
    <t>Universal Health Care Ins. Co.</t>
  </si>
  <si>
    <t xml:space="preserve">12577     </t>
  </si>
  <si>
    <t>FL</t>
  </si>
  <si>
    <t>No Data Available</t>
  </si>
  <si>
    <t>Universal Life Ins Co</t>
  </si>
  <si>
    <t xml:space="preserve">70157     </t>
  </si>
  <si>
    <t xml:space="preserve">Total "Open" </t>
  </si>
  <si>
    <t>Open Insolvencies Summary by State</t>
  </si>
  <si>
    <t>Overview "Closed" Insolvencies</t>
  </si>
  <si>
    <t>Andrew Jackson Life Ins. Co.</t>
  </si>
  <si>
    <t xml:space="preserve">60968     </t>
  </si>
  <si>
    <t>MS</t>
  </si>
  <si>
    <t>Benicorp Ins. Co.</t>
  </si>
  <si>
    <t xml:space="preserve">69752     </t>
  </si>
  <si>
    <t>Centennial Life Ins. Co.</t>
  </si>
  <si>
    <t xml:space="preserve">61654     </t>
  </si>
  <si>
    <t>KS</t>
  </si>
  <si>
    <t>Family Guaranty Life Ins. Co.</t>
  </si>
  <si>
    <t xml:space="preserve">75302     </t>
  </si>
  <si>
    <t>Farmers and Ranchers Life Ins. Co.</t>
  </si>
  <si>
    <t xml:space="preserve">63185     </t>
  </si>
  <si>
    <t>OK</t>
  </si>
  <si>
    <t>First National Life Ins. Co. of America</t>
  </si>
  <si>
    <t xml:space="preserve">63525     </t>
  </si>
  <si>
    <t>Franklin American Life Ins. Co.</t>
  </si>
  <si>
    <t xml:space="preserve">68489     </t>
  </si>
  <si>
    <t>TN</t>
  </si>
  <si>
    <t>Franklin Protective Life Ins. Co.</t>
  </si>
  <si>
    <t xml:space="preserve">98655     </t>
  </si>
  <si>
    <t>Golden State Mutual Life Ins Co</t>
  </si>
  <si>
    <t xml:space="preserve">63924     </t>
  </si>
  <si>
    <t>International Financial Services Life Ins. Co.</t>
  </si>
  <si>
    <t xml:space="preserve">64084     </t>
  </si>
  <si>
    <t>Investors Equity Life Ins. Co. of HI, LTD</t>
  </si>
  <si>
    <t xml:space="preserve">64874     </t>
  </si>
  <si>
    <t>HI</t>
  </si>
  <si>
    <t>Legion Ins. Co.</t>
  </si>
  <si>
    <t xml:space="preserve">24422     </t>
  </si>
  <si>
    <t>Lumbermens Mutual</t>
  </si>
  <si>
    <t xml:space="preserve">22977     </t>
  </si>
  <si>
    <t>IL</t>
  </si>
  <si>
    <t>National Heritage Life Ins. Co.</t>
  </si>
  <si>
    <t xml:space="preserve">97284     </t>
  </si>
  <si>
    <t>DE</t>
  </si>
  <si>
    <t>Old Standard Life Ins. Co.</t>
  </si>
  <si>
    <t xml:space="preserve">88579     </t>
  </si>
  <si>
    <t>ID</t>
  </si>
  <si>
    <t>Reliance Ins. Co.</t>
  </si>
  <si>
    <t xml:space="preserve">24457     </t>
  </si>
  <si>
    <t>Standard Life Ins Co of IN</t>
  </si>
  <si>
    <t xml:space="preserve">69051     </t>
  </si>
  <si>
    <t>Villanova Ins. Co.</t>
  </si>
  <si>
    <t xml:space="preserve">19577     </t>
  </si>
  <si>
    <t xml:space="preserve">Total "Closed" </t>
  </si>
  <si>
    <t>Closed Insolvencies Summary by State</t>
  </si>
  <si>
    <t>Overview "Estate Closed" Insolvencies</t>
  </si>
  <si>
    <t>Alabama Life Ins. Co.</t>
  </si>
  <si>
    <t xml:space="preserve">98825     </t>
  </si>
  <si>
    <t>American Chambers Life Ins. Co.</t>
  </si>
  <si>
    <t xml:space="preserve">75914     </t>
  </si>
  <si>
    <t>OH</t>
  </si>
  <si>
    <t>American Educators Life Ins. Co.</t>
  </si>
  <si>
    <t xml:space="preserve">60356     </t>
  </si>
  <si>
    <t>American Integrity Ins. Co.</t>
  </si>
  <si>
    <t xml:space="preserve">10197     </t>
  </si>
  <si>
    <t>American Life Assurance Corp.</t>
  </si>
  <si>
    <t xml:space="preserve">88161     </t>
  </si>
  <si>
    <t>American Standard Life &amp; Accident Ins. Co.</t>
  </si>
  <si>
    <t xml:space="preserve">63452     </t>
  </si>
  <si>
    <t>American Western Life Ins. Co.</t>
  </si>
  <si>
    <t xml:space="preserve">60917     </t>
  </si>
  <si>
    <t>UT</t>
  </si>
  <si>
    <t>AMS Life Ins. Co.</t>
  </si>
  <si>
    <t xml:space="preserve">86142     </t>
  </si>
  <si>
    <t>AZ</t>
  </si>
  <si>
    <t>Bankers Commercial Life Ins. Co.</t>
  </si>
  <si>
    <t xml:space="preserve">61220     </t>
  </si>
  <si>
    <t>Coastal States Life Ins. Co.</t>
  </si>
  <si>
    <t xml:space="preserve">61980     </t>
  </si>
  <si>
    <t>GA</t>
  </si>
  <si>
    <t>Confederation Life Ins. Co. (CLIC)</t>
  </si>
  <si>
    <t xml:space="preserve">80667     </t>
  </si>
  <si>
    <t>Consolidated National Life Ins. Co.</t>
  </si>
  <si>
    <t xml:space="preserve">71382     </t>
  </si>
  <si>
    <t>Consumers United Ins. Co.</t>
  </si>
  <si>
    <t xml:space="preserve">62278     </t>
  </si>
  <si>
    <t>Corporate Life Ins. Co.</t>
  </si>
  <si>
    <t xml:space="preserve">74705     </t>
  </si>
  <si>
    <t>Diamond Benefits Life Ins. Co./LACOP</t>
  </si>
  <si>
    <t xml:space="preserve">74969     </t>
  </si>
  <si>
    <t>EBL Life Ins. Co.</t>
  </si>
  <si>
    <t xml:space="preserve">87033     </t>
  </si>
  <si>
    <t>Fidelity Bankers Life Ins. Co.</t>
  </si>
  <si>
    <t xml:space="preserve">63266     </t>
  </si>
  <si>
    <t>VA</t>
  </si>
  <si>
    <t>First National Life Ins. Co.</t>
  </si>
  <si>
    <t xml:space="preserve">63517     </t>
  </si>
  <si>
    <t>George Washington Life Ins. Co.</t>
  </si>
  <si>
    <t xml:space="preserve">63770     </t>
  </si>
  <si>
    <t>WV</t>
  </si>
  <si>
    <t>Guarantee Security Life Ins. Co.</t>
  </si>
  <si>
    <t xml:space="preserve">84271     </t>
  </si>
  <si>
    <t>Inter-American Ins. Co. of Illinois</t>
  </si>
  <si>
    <t xml:space="preserve">67210     </t>
  </si>
  <si>
    <t>Investment Life Ins. Co. of America</t>
  </si>
  <si>
    <t xml:space="preserve">76015     </t>
  </si>
  <si>
    <t>NC</t>
  </si>
  <si>
    <t>Kentucky Central Life Ins. Co.</t>
  </si>
  <si>
    <t xml:space="preserve">65188     </t>
  </si>
  <si>
    <t>KY</t>
  </si>
  <si>
    <t>Life Assurance Co. of Pennsylvania</t>
  </si>
  <si>
    <t xml:space="preserve">65374     </t>
  </si>
  <si>
    <t>Included in Diamond Benefits</t>
  </si>
  <si>
    <t>London Pacific Life &amp; Annuity Co.</t>
  </si>
  <si>
    <t xml:space="preserve">68934     </t>
  </si>
  <si>
    <t>Midwest Life Ins. Co.</t>
  </si>
  <si>
    <t xml:space="preserve">66060     </t>
  </si>
  <si>
    <t>LA</t>
  </si>
  <si>
    <t>Mutual Benefit Life Ins. Co.</t>
  </si>
  <si>
    <t xml:space="preserve">66362     </t>
  </si>
  <si>
    <t>NJ</t>
  </si>
  <si>
    <t>Mutual Security Life Ins. Co.</t>
  </si>
  <si>
    <t xml:space="preserve">66400     </t>
  </si>
  <si>
    <t>National Affiliated Investors Life Ins. Co.</t>
  </si>
  <si>
    <t xml:space="preserve">69370     </t>
  </si>
  <si>
    <t>National American Life Ins. Co of PA</t>
  </si>
  <si>
    <t xml:space="preserve">69221     </t>
  </si>
  <si>
    <t>New Jersey Life Ins. Co.</t>
  </si>
  <si>
    <t xml:space="preserve">66907     </t>
  </si>
  <si>
    <t>Old Colony Life Ins. Co.</t>
  </si>
  <si>
    <t xml:space="preserve">65161     </t>
  </si>
  <si>
    <t>Old Faithful Life Ins. Co.</t>
  </si>
  <si>
    <t xml:space="preserve">67229     </t>
  </si>
  <si>
    <t>WY</t>
  </si>
  <si>
    <t>Pacific Standard Life Ins. Co.</t>
  </si>
  <si>
    <t xml:space="preserve">72842     </t>
  </si>
  <si>
    <t>States General Life Ins. Co.</t>
  </si>
  <si>
    <t xml:space="preserve">69175     </t>
  </si>
  <si>
    <t>Statesman National Life Ins. Co.</t>
  </si>
  <si>
    <t xml:space="preserve">69183     </t>
  </si>
  <si>
    <t>Summit National Life Ins. Co.</t>
  </si>
  <si>
    <t xml:space="preserve">71080     </t>
  </si>
  <si>
    <t>Supreme Life Ins. Co. of America</t>
  </si>
  <si>
    <t xml:space="preserve">69302     </t>
  </si>
  <si>
    <t>Underwriters Life Ins. Co.</t>
  </si>
  <si>
    <t xml:space="preserve">88188     </t>
  </si>
  <si>
    <t>SD</t>
  </si>
  <si>
    <t>Unison International Life Ins. Co.</t>
  </si>
  <si>
    <t xml:space="preserve">68055     </t>
  </si>
  <si>
    <t>United Republic Life Ins. Co.</t>
  </si>
  <si>
    <t xml:space="preserve">93238     </t>
  </si>
  <si>
    <t>Universe Life Ins. Co.</t>
  </si>
  <si>
    <t xml:space="preserve">70181     </t>
  </si>
  <si>
    <t xml:space="preserve">Total "Estate Closed" </t>
  </si>
  <si>
    <t>Estate Closed Insolvencies Summary by State</t>
  </si>
  <si>
    <t>Overview "Released from Oversight" Insolvencies</t>
  </si>
  <si>
    <t>Confederation Life Ins. &amp; Annuity Co. (CLIAC)</t>
  </si>
  <si>
    <t xml:space="preserve">99384     </t>
  </si>
  <si>
    <t>No GA funding involved</t>
  </si>
  <si>
    <t>Fidelity Mutual Life Ins. Co.</t>
  </si>
  <si>
    <t xml:space="preserve">63304     </t>
  </si>
  <si>
    <t>no GA participation</t>
  </si>
  <si>
    <t>First Capital Life Ins. Co.</t>
  </si>
  <si>
    <t xml:space="preserve">65447     </t>
  </si>
  <si>
    <t>Mid-Continent Life Ins. Co.</t>
  </si>
  <si>
    <t xml:space="preserve">66001     </t>
  </si>
  <si>
    <t>Old West Annuity &amp; Life Ins. Co.</t>
  </si>
  <si>
    <t xml:space="preserve">76791     </t>
  </si>
  <si>
    <t>Settlers Life Ins. Co.</t>
  </si>
  <si>
    <t xml:space="preserve">64220     </t>
  </si>
  <si>
    <t>Shenandoah Life Ins. Co.</t>
  </si>
  <si>
    <t xml:space="preserve">68845     </t>
  </si>
  <si>
    <t xml:space="preserve">Total "Released from Oversight" </t>
  </si>
  <si>
    <t>Released from Oversight Insolvencies Summary by State</t>
  </si>
  <si>
    <t>Grand Total</t>
  </si>
  <si>
    <t>Total All Insolvencies Summary by State</t>
  </si>
  <si>
    <t>Liq. Order Pending resolution, see special memo re liabilities</t>
  </si>
  <si>
    <t>See Special Memo</t>
  </si>
  <si>
    <t>No Data Available, costs are expenses only</t>
  </si>
  <si>
    <t>No Data Available, sold without GA involvement</t>
  </si>
  <si>
    <t>Revised Assessable Premium Licensed Only (88-93 Includes Resurvey Changes)</t>
  </si>
  <si>
    <t>1988 - 2012 Data</t>
  </si>
  <si>
    <t xml:space="preserve"> </t>
  </si>
  <si>
    <t>Assessable</t>
  </si>
  <si>
    <t>Premium</t>
  </si>
  <si>
    <t>State</t>
  </si>
  <si>
    <t>Year</t>
  </si>
  <si>
    <t>403(b)</t>
  </si>
  <si>
    <t>Notes</t>
  </si>
  <si>
    <t>UA 403b (A,L5.2+6.3)</t>
  </si>
  <si>
    <t>Dist. Of Columbia</t>
  </si>
  <si>
    <t>A, L2, C2</t>
  </si>
  <si>
    <t>All States</t>
  </si>
  <si>
    <t>Total All Lines</t>
  </si>
  <si>
    <t>Total LIFE Only</t>
  </si>
  <si>
    <t>Total ALLOCATED ANNUITY Only</t>
  </si>
  <si>
    <t>Total UNALLOCATED ANNUITY Only</t>
  </si>
  <si>
    <t>Apr+June</t>
  </si>
  <si>
    <t>Jan</t>
  </si>
  <si>
    <t>Jan+Apr+Oct</t>
  </si>
  <si>
    <t>April</t>
  </si>
  <si>
    <t>Apr+Jun</t>
  </si>
  <si>
    <t>Est Future</t>
  </si>
  <si>
    <t>District of Columbia</t>
  </si>
  <si>
    <t>Reconciliation Grand Total Insolvency Costs to Antiicpated Funding Schedules</t>
  </si>
  <si>
    <t>Grand Total Insolvency Costs</t>
  </si>
  <si>
    <t>Less Insolvency Costs NOT included in "Anticipated Funding Schedules":</t>
  </si>
  <si>
    <t xml:space="preserve">  Estate Closed</t>
  </si>
  <si>
    <t xml:space="preserve">  Released from Oversight</t>
  </si>
  <si>
    <t xml:space="preserve">  Closed</t>
  </si>
  <si>
    <t xml:space="preserve">  Open (excluding ELIC)</t>
  </si>
  <si>
    <t xml:space="preserve">  Pre-Liquidation</t>
  </si>
  <si>
    <t>Less Other Adjustments Included in GA Cost Total, NOT included in "Anticipated Funding Schedules":</t>
  </si>
  <si>
    <t xml:space="preserve">  Executive Life Insurance Company</t>
  </si>
  <si>
    <t>NOLHGA expenses</t>
  </si>
  <si>
    <t>GA expenses</t>
  </si>
  <si>
    <t>GA claims</t>
  </si>
  <si>
    <t>Add Other Adjustments Included in GA Cost Total, NOT included in "Anticipated Funding Schedules":</t>
  </si>
  <si>
    <t>Other recoveries</t>
  </si>
  <si>
    <t>Adjusted Total</t>
  </si>
  <si>
    <t>Total Per "Anticipated Funding Schedules"</t>
  </si>
  <si>
    <t>Variance</t>
  </si>
  <si>
    <t>summary</t>
  </si>
  <si>
    <t>adjustments</t>
  </si>
  <si>
    <t>antic fnding file</t>
  </si>
  <si>
    <t>gross</t>
  </si>
  <si>
    <t xml:space="preserve">   Per "Summary - Grand Total"</t>
  </si>
  <si>
    <t>NOTE:  Costs incurred for the following states represent expenses allcoated early in the case.  These states do NOT provide coverage for this insolvency.</t>
  </si>
  <si>
    <t>AL, DC, FL, KS, LA, MA, MO, OR, PR, TX, WI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</si>
</sst>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m/d/yyyy;@"/>
    <numFmt numFmtId="165" formatCode="0_);\(0\)"/>
  </numFmts>
  <fonts count="16">
    <font>
      <sz val="11"/>
      <color theme="1"/>
      <name val="Calibri"/>
      <family val="2"/>
      <scheme val="minor"/>
    </font>
    <font>
      <b/>
      <sz val="11"/>
      <color indexed="10"/>
      <name val="Calibri"/>
      <family val="2"/>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FF0000"/>
      <name val="Calibri"/>
      <family val="2"/>
      <scheme val="minor"/>
    </font>
    <font>
      <sz val="10"/>
      <color rgb="FFFF0000"/>
      <name val="Arial"/>
      <family val="2"/>
    </font>
    <font>
      <b/>
      <i/>
      <sz val="10"/>
      <name val="Geneva"/>
    </font>
    <font>
      <b/>
      <sz val="10"/>
      <name val="Geneva"/>
    </font>
    <font>
      <sz val="10"/>
      <name val="Geneva"/>
    </font>
    <font>
      <sz val="10"/>
      <name val="Arial"/>
      <family val="2"/>
    </font>
    <font>
      <b/>
      <sz val="8"/>
      <color indexed="81"/>
      <name val="Tahoma"/>
      <family val="2"/>
    </font>
    <font>
      <sz val="8"/>
      <color indexed="81"/>
      <name val="Tahoma"/>
      <family val="2"/>
    </font>
    <font>
      <sz val="10"/>
      <color indexed="9"/>
      <name val="Geneva"/>
    </font>
    <font>
      <u/>
      <sz val="10"/>
      <name val="Geneva"/>
    </font>
  </fonts>
  <fills count="4">
    <fill>
      <patternFill patternType="none"/>
    </fill>
    <fill>
      <patternFill patternType="gray125"/>
    </fill>
    <fill>
      <patternFill patternType="solid">
        <fgColor theme="0" tint="-0.14999847407452621"/>
        <bgColor indexed="64"/>
      </patternFill>
    </fill>
    <fill>
      <patternFill patternType="solid">
        <fgColor indexed="8"/>
        <bgColor indexed="64"/>
      </patternFill>
    </fill>
  </fills>
  <borders count="30">
    <border>
      <left/>
      <right/>
      <top/>
      <bottom/>
      <diagonal/>
    </border>
    <border>
      <left/>
      <right/>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43" fontId="5" fillId="0" borderId="0" applyFont="0" applyFill="0" applyBorder="0" applyAlignment="0" applyProtection="0"/>
  </cellStyleXfs>
  <cellXfs count="160">
    <xf numFmtId="0" fontId="0" fillId="0" borderId="0" xfId="0"/>
    <xf numFmtId="0" fontId="0" fillId="0" borderId="0" xfId="0" applyAlignment="1">
      <alignment horizontal="center"/>
    </xf>
    <xf numFmtId="0" fontId="0" fillId="0" borderId="0" xfId="0" applyAlignment="1">
      <alignment horizontal="center" wrapText="1"/>
    </xf>
    <xf numFmtId="37" fontId="0" fillId="0" borderId="0" xfId="0" applyNumberFormat="1"/>
    <xf numFmtId="0" fontId="0" fillId="0" borderId="2" xfId="0" applyBorder="1"/>
    <xf numFmtId="0" fontId="0" fillId="0" borderId="0" xfId="0" applyBorder="1"/>
    <xf numFmtId="0" fontId="2" fillId="0" borderId="0" xfId="0" applyFont="1" applyBorder="1" applyAlignment="1">
      <alignment horizontal="center" vertical="center" wrapText="1"/>
    </xf>
    <xf numFmtId="37" fontId="0" fillId="0" borderId="0" xfId="0" applyNumberFormat="1" applyBorder="1"/>
    <xf numFmtId="0" fontId="0" fillId="0" borderId="3" xfId="0" applyBorder="1"/>
    <xf numFmtId="0" fontId="2" fillId="0" borderId="3" xfId="0" applyFont="1" applyBorder="1" applyAlignment="1">
      <alignment horizontal="center" vertical="center" wrapText="1"/>
    </xf>
    <xf numFmtId="37" fontId="0" fillId="0" borderId="3" xfId="0" applyNumberFormat="1" applyBorder="1"/>
    <xf numFmtId="0" fontId="0" fillId="0" borderId="6" xfId="0" applyBorder="1"/>
    <xf numFmtId="0" fontId="0" fillId="0" borderId="7" xfId="0" applyBorder="1"/>
    <xf numFmtId="0" fontId="0" fillId="0" borderId="8" xfId="0" applyBorder="1"/>
    <xf numFmtId="37" fontId="0" fillId="0" borderId="8" xfId="0" applyNumberFormat="1" applyBorder="1"/>
    <xf numFmtId="0" fontId="0" fillId="0" borderId="10" xfId="0" applyBorder="1"/>
    <xf numFmtId="0" fontId="2" fillId="0" borderId="10" xfId="0" applyFont="1" applyBorder="1" applyAlignment="1">
      <alignment horizontal="center" vertical="center" wrapText="1"/>
    </xf>
    <xf numFmtId="37" fontId="0" fillId="0" borderId="10" xfId="0" applyNumberFormat="1" applyBorder="1"/>
    <xf numFmtId="0" fontId="0" fillId="0" borderId="11" xfId="0" applyBorder="1"/>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5" xfId="0" applyBorder="1"/>
    <xf numFmtId="0" fontId="0" fillId="0" borderId="5" xfId="0" applyBorder="1" applyAlignment="1">
      <alignment horizontal="center"/>
    </xf>
    <xf numFmtId="0" fontId="0" fillId="0" borderId="0" xfId="0" applyBorder="1" applyAlignment="1">
      <alignment horizontal="center"/>
    </xf>
    <xf numFmtId="0" fontId="0" fillId="0" borderId="3" xfId="0" applyBorder="1" applyAlignment="1">
      <alignment horizontal="center" wrapText="1"/>
    </xf>
    <xf numFmtId="0" fontId="0" fillId="0" borderId="0" xfId="0" applyBorder="1" applyAlignment="1">
      <alignment horizontal="center" wrapText="1"/>
    </xf>
    <xf numFmtId="164" fontId="0" fillId="0" borderId="0" xfId="0" applyNumberFormat="1"/>
    <xf numFmtId="164" fontId="0" fillId="0" borderId="0" xfId="0" applyNumberFormat="1" applyBorder="1" applyAlignment="1">
      <alignment horizontal="center" wrapText="1"/>
    </xf>
    <xf numFmtId="37" fontId="0" fillId="0" borderId="0" xfId="0" applyNumberFormat="1" applyBorder="1" applyAlignment="1">
      <alignment horizontal="center" wrapText="1"/>
    </xf>
    <xf numFmtId="37" fontId="0" fillId="0" borderId="10" xfId="0" applyNumberFormat="1" applyBorder="1" applyAlignment="1">
      <alignment horizontal="center" wrapText="1"/>
    </xf>
    <xf numFmtId="37" fontId="0" fillId="0" borderId="0" xfId="0" applyNumberFormat="1" applyAlignment="1">
      <alignment horizontal="center" wrapText="1"/>
    </xf>
    <xf numFmtId="37" fontId="2" fillId="0" borderId="0" xfId="0" applyNumberFormat="1" applyFont="1" applyBorder="1" applyAlignment="1">
      <alignment horizontal="center" wrapText="1"/>
    </xf>
    <xf numFmtId="37" fontId="2" fillId="0" borderId="10" xfId="0" applyNumberFormat="1" applyFont="1" applyBorder="1" applyAlignment="1">
      <alignment horizontal="center" wrapText="1"/>
    </xf>
    <xf numFmtId="37" fontId="0" fillId="0" borderId="9" xfId="0" applyNumberFormat="1" applyBorder="1"/>
    <xf numFmtId="164" fontId="0" fillId="0" borderId="5" xfId="0" applyNumberFormat="1" applyBorder="1"/>
    <xf numFmtId="37" fontId="0" fillId="0" borderId="5" xfId="0" applyNumberFormat="1" applyBorder="1"/>
    <xf numFmtId="164" fontId="0" fillId="0" borderId="0" xfId="0" applyNumberFormat="1" applyBorder="1"/>
    <xf numFmtId="0" fontId="3" fillId="0" borderId="4" xfId="0" applyFont="1" applyBorder="1"/>
    <xf numFmtId="0" fontId="3" fillId="0" borderId="18" xfId="0" applyFont="1" applyBorder="1"/>
    <xf numFmtId="0" fontId="0" fillId="0" borderId="19" xfId="0" applyBorder="1" applyAlignment="1">
      <alignment horizontal="center"/>
    </xf>
    <xf numFmtId="164" fontId="0" fillId="0" borderId="19" xfId="0" applyNumberFormat="1" applyBorder="1"/>
    <xf numFmtId="37" fontId="0" fillId="0" borderId="19" xfId="0" applyNumberFormat="1" applyBorder="1"/>
    <xf numFmtId="37" fontId="0" fillId="0" borderId="20" xfId="0" applyNumberFormat="1" applyBorder="1"/>
    <xf numFmtId="37" fontId="0" fillId="0" borderId="4" xfId="0" applyNumberFormat="1" applyBorder="1"/>
    <xf numFmtId="37" fontId="0" fillId="0" borderId="3" xfId="0" applyNumberFormat="1" applyBorder="1" applyAlignment="1">
      <alignment horizontal="center" wrapText="1"/>
    </xf>
    <xf numFmtId="37" fontId="0" fillId="0" borderId="18" xfId="0" applyNumberFormat="1" applyBorder="1"/>
    <xf numFmtId="0" fontId="2" fillId="0" borderId="0" xfId="0" applyFont="1" applyAlignment="1">
      <alignment horizontal="right"/>
    </xf>
    <xf numFmtId="37" fontId="0" fillId="0" borderId="0" xfId="0" applyNumberFormat="1" applyAlignment="1">
      <alignment horizontal="center"/>
    </xf>
    <xf numFmtId="0" fontId="0" fillId="0" borderId="0" xfId="0" applyBorder="1" applyAlignment="1">
      <alignment horizontal="center"/>
    </xf>
    <xf numFmtId="164" fontId="6" fillId="0" borderId="0" xfId="0" applyNumberFormat="1" applyFont="1" applyBorder="1" applyAlignment="1">
      <alignment horizontal="left"/>
    </xf>
    <xf numFmtId="164" fontId="7" fillId="0" borderId="0" xfId="0" applyNumberFormat="1" applyFont="1" applyBorder="1" applyAlignment="1">
      <alignment horizontal="center"/>
    </xf>
    <xf numFmtId="164" fontId="0" fillId="0" borderId="0" xfId="0" applyNumberFormat="1" applyAlignment="1">
      <alignment horizontal="center"/>
    </xf>
    <xf numFmtId="164" fontId="0" fillId="0" borderId="5" xfId="0" applyNumberFormat="1" applyBorder="1" applyAlignment="1">
      <alignment horizontal="center"/>
    </xf>
    <xf numFmtId="164" fontId="0" fillId="0" borderId="0" xfId="0" applyNumberFormat="1" applyBorder="1" applyAlignment="1">
      <alignment horizontal="center"/>
    </xf>
    <xf numFmtId="164" fontId="0" fillId="0" borderId="19" xfId="0" applyNumberFormat="1" applyBorder="1" applyAlignment="1">
      <alignment horizontal="center"/>
    </xf>
    <xf numFmtId="38" fontId="0" fillId="0" borderId="0" xfId="0" applyNumberFormat="1" applyFont="1" applyFill="1"/>
    <xf numFmtId="0" fontId="0" fillId="0" borderId="0" xfId="0" applyFill="1"/>
    <xf numFmtId="0" fontId="0" fillId="0" borderId="0" xfId="0" applyFill="1" applyAlignment="1">
      <alignment horizontal="center"/>
    </xf>
    <xf numFmtId="38" fontId="0" fillId="0" borderId="0" xfId="0" applyNumberFormat="1" applyFont="1" applyFill="1" applyAlignment="1">
      <alignment horizontal="center"/>
    </xf>
    <xf numFmtId="38" fontId="9" fillId="0" borderId="0" xfId="0" applyNumberFormat="1" applyFont="1" applyFill="1" applyAlignment="1">
      <alignment horizontal="center"/>
    </xf>
    <xf numFmtId="37" fontId="0" fillId="0" borderId="0" xfId="0" applyNumberFormat="1" applyFill="1"/>
    <xf numFmtId="165" fontId="0" fillId="0" borderId="0" xfId="0" applyNumberFormat="1" applyFill="1" applyAlignment="1">
      <alignment horizontal="center"/>
    </xf>
    <xf numFmtId="38" fontId="9" fillId="0" borderId="0" xfId="0" applyNumberFormat="1" applyFont="1" applyFill="1"/>
    <xf numFmtId="37" fontId="10" fillId="0" borderId="0" xfId="0" applyNumberFormat="1" applyFont="1" applyFill="1"/>
    <xf numFmtId="165" fontId="10" fillId="0" borderId="0" xfId="0" applyNumberFormat="1" applyFont="1" applyFill="1" applyAlignment="1">
      <alignment horizontal="center"/>
    </xf>
    <xf numFmtId="38" fontId="0" fillId="0" borderId="0" xfId="1" applyNumberFormat="1" applyFont="1" applyFill="1" applyAlignment="1">
      <alignment horizontal="right"/>
    </xf>
    <xf numFmtId="38" fontId="9" fillId="2" borderId="0" xfId="0" applyNumberFormat="1" applyFont="1" applyFill="1"/>
    <xf numFmtId="38" fontId="0" fillId="0" borderId="0" xfId="0" applyNumberFormat="1" applyFont="1"/>
    <xf numFmtId="38" fontId="11" fillId="0" borderId="0" xfId="1" applyNumberFormat="1" applyFont="1" applyFill="1"/>
    <xf numFmtId="38" fontId="0" fillId="0" borderId="0" xfId="1" applyNumberFormat="1" applyFont="1"/>
    <xf numFmtId="38" fontId="0" fillId="0" borderId="0" xfId="1" applyNumberFormat="1" applyFont="1" applyFill="1"/>
    <xf numFmtId="38" fontId="0" fillId="2" borderId="0" xfId="0" applyNumberFormat="1" applyFont="1" applyFill="1"/>
    <xf numFmtId="38" fontId="11" fillId="0" borderId="0" xfId="1" applyNumberFormat="1" applyFont="1" applyFill="1" applyBorder="1"/>
    <xf numFmtId="37" fontId="0" fillId="0" borderId="0" xfId="0" applyNumberFormat="1" applyFont="1" applyFill="1"/>
    <xf numFmtId="38" fontId="11" fillId="0" borderId="0" xfId="1" applyNumberFormat="1" applyFont="1" applyFill="1" applyAlignment="1">
      <alignment horizontal="right"/>
    </xf>
    <xf numFmtId="0" fontId="10" fillId="0" borderId="0" xfId="0" applyFont="1" applyFill="1"/>
    <xf numFmtId="0" fontId="10" fillId="0" borderId="0" xfId="0" applyFont="1" applyFill="1" applyAlignment="1">
      <alignment horizontal="center"/>
    </xf>
    <xf numFmtId="0" fontId="10" fillId="0" borderId="21" xfId="0" applyFont="1" applyFill="1" applyBorder="1" applyAlignment="1">
      <alignment horizontal="center"/>
    </xf>
    <xf numFmtId="38" fontId="0" fillId="0" borderId="21" xfId="0" applyNumberFormat="1" applyFont="1" applyFill="1" applyBorder="1"/>
    <xf numFmtId="0" fontId="9" fillId="0" borderId="0" xfId="0" applyFont="1"/>
    <xf numFmtId="0" fontId="14" fillId="3" borderId="0" xfId="0" applyFont="1" applyFill="1" applyAlignment="1">
      <alignment horizontal="centerContinuous"/>
    </xf>
    <xf numFmtId="0" fontId="9" fillId="0" borderId="4" xfId="0" applyFont="1" applyBorder="1"/>
    <xf numFmtId="0" fontId="0" fillId="0" borderId="9" xfId="0" applyBorder="1"/>
    <xf numFmtId="0" fontId="0" fillId="0" borderId="4" xfId="0" applyBorder="1"/>
    <xf numFmtId="0" fontId="9" fillId="0" borderId="0" xfId="0" applyFont="1" applyAlignment="1">
      <alignment horizontal="center"/>
    </xf>
    <xf numFmtId="0" fontId="9" fillId="0" borderId="3" xfId="0" applyFont="1" applyBorder="1" applyAlignment="1">
      <alignment horizontal="center"/>
    </xf>
    <xf numFmtId="0" fontId="9" fillId="0" borderId="22" xfId="0" applyFont="1" applyBorder="1" applyAlignment="1">
      <alignment horizontal="center"/>
    </xf>
    <xf numFmtId="0" fontId="9" fillId="0" borderId="10" xfId="0" applyFont="1" applyBorder="1" applyAlignment="1">
      <alignment horizontal="center"/>
    </xf>
    <xf numFmtId="0" fontId="15" fillId="0" borderId="0" xfId="0" applyFont="1" applyAlignment="1">
      <alignment horizontal="center"/>
    </xf>
    <xf numFmtId="0" fontId="9" fillId="0" borderId="23" xfId="0" applyFont="1" applyBorder="1" applyAlignment="1">
      <alignment horizontal="center"/>
    </xf>
    <xf numFmtId="0" fontId="9" fillId="0" borderId="0" xfId="0" applyFont="1" applyBorder="1" applyAlignment="1">
      <alignment horizontal="center"/>
    </xf>
    <xf numFmtId="0" fontId="9" fillId="0" borderId="2" xfId="0" applyFont="1" applyBorder="1" applyAlignment="1">
      <alignment horizontal="center"/>
    </xf>
    <xf numFmtId="0" fontId="9" fillId="0" borderId="24" xfId="0" applyFont="1" applyBorder="1" applyAlignment="1">
      <alignment horizontal="center"/>
    </xf>
    <xf numFmtId="0" fontId="15" fillId="0" borderId="0" xfId="0" applyFont="1"/>
    <xf numFmtId="0" fontId="9" fillId="0" borderId="8" xfId="0" applyFont="1" applyBorder="1" applyAlignment="1">
      <alignment horizontal="center"/>
    </xf>
    <xf numFmtId="0" fontId="0" fillId="0" borderId="22" xfId="0" applyBorder="1"/>
    <xf numFmtId="0" fontId="0" fillId="0" borderId="23" xfId="0" applyBorder="1"/>
    <xf numFmtId="0" fontId="0" fillId="0" borderId="24" xfId="0" applyBorder="1"/>
    <xf numFmtId="37" fontId="10" fillId="0" borderId="3" xfId="0" applyNumberFormat="1" applyFont="1" applyBorder="1"/>
    <xf numFmtId="37" fontId="10" fillId="0" borderId="22" xfId="0" applyNumberFormat="1" applyFont="1" applyBorder="1"/>
    <xf numFmtId="37" fontId="10" fillId="0" borderId="10" xfId="0" applyNumberFormat="1" applyFont="1" applyBorder="1"/>
    <xf numFmtId="37" fontId="10" fillId="0" borderId="0" xfId="0" applyNumberFormat="1" applyFont="1"/>
    <xf numFmtId="37" fontId="10" fillId="0" borderId="2" xfId="0" applyNumberFormat="1" applyFont="1" applyBorder="1"/>
    <xf numFmtId="37" fontId="10" fillId="0" borderId="23" xfId="0" applyNumberFormat="1" applyFont="1" applyBorder="1"/>
    <xf numFmtId="37" fontId="10" fillId="0" borderId="24" xfId="0" applyNumberFormat="1" applyFont="1" applyBorder="1"/>
    <xf numFmtId="41" fontId="0" fillId="0" borderId="22" xfId="0" applyNumberFormat="1" applyBorder="1"/>
    <xf numFmtId="37" fontId="9" fillId="0" borderId="0" xfId="0" applyNumberFormat="1" applyFont="1"/>
    <xf numFmtId="37" fontId="10" fillId="0" borderId="0" xfId="0" applyNumberFormat="1" applyFont="1" applyBorder="1"/>
    <xf numFmtId="37" fontId="10" fillId="0" borderId="6" xfId="0" applyNumberFormat="1" applyFont="1" applyBorder="1"/>
    <xf numFmtId="37" fontId="10" fillId="0" borderId="25" xfId="0" applyNumberFormat="1" applyFont="1" applyBorder="1"/>
    <xf numFmtId="37" fontId="10" fillId="0" borderId="11" xfId="0" applyNumberFormat="1" applyFont="1" applyBorder="1"/>
    <xf numFmtId="37" fontId="10" fillId="0" borderId="26" xfId="0" applyNumberFormat="1" applyFont="1" applyBorder="1"/>
    <xf numFmtId="37" fontId="10" fillId="0" borderId="27" xfId="0" applyNumberFormat="1" applyFont="1" applyBorder="1"/>
    <xf numFmtId="37" fontId="10" fillId="0" borderId="28" xfId="0" applyNumberFormat="1" applyFont="1" applyBorder="1"/>
    <xf numFmtId="37" fontId="10" fillId="0" borderId="29" xfId="0" applyNumberFormat="1" applyFont="1" applyBorder="1"/>
    <xf numFmtId="38" fontId="0" fillId="0" borderId="0" xfId="0" applyNumberFormat="1" applyBorder="1"/>
    <xf numFmtId="38" fontId="0" fillId="0" borderId="0" xfId="0" applyNumberFormat="1"/>
    <xf numFmtId="37" fontId="8" fillId="0" borderId="0" xfId="0" applyNumberFormat="1" applyFont="1"/>
    <xf numFmtId="37" fontId="9" fillId="0" borderId="0" xfId="0" applyNumberFormat="1" applyFont="1" applyBorder="1" applyAlignment="1">
      <alignment horizontal="right"/>
    </xf>
    <xf numFmtId="37" fontId="0" fillId="0" borderId="0" xfId="0" applyNumberFormat="1" applyAlignment="1">
      <alignment horizontal="right"/>
    </xf>
    <xf numFmtId="37" fontId="0" fillId="0" borderId="0" xfId="0" applyNumberFormat="1" applyFill="1" applyAlignment="1">
      <alignment horizontal="center"/>
    </xf>
    <xf numFmtId="0" fontId="0" fillId="0" borderId="0" xfId="0" applyAlignment="1"/>
    <xf numFmtId="0" fontId="0" fillId="0" borderId="0" xfId="0" applyBorder="1" applyAlignment="1">
      <alignment wrapText="1"/>
    </xf>
    <xf numFmtId="0" fontId="0" fillId="0" borderId="5" xfId="0" applyBorder="1" applyAlignment="1"/>
    <xf numFmtId="0" fontId="0" fillId="0" borderId="0" xfId="0" applyBorder="1" applyAlignment="1"/>
    <xf numFmtId="0" fontId="0" fillId="0" borderId="19" xfId="0" applyBorder="1" applyAlignment="1"/>
    <xf numFmtId="0" fontId="2" fillId="0" borderId="3" xfId="0" applyFont="1" applyBorder="1" applyAlignment="1">
      <alignment horizontal="center" vertical="top" wrapText="1"/>
    </xf>
    <xf numFmtId="0" fontId="0" fillId="0" borderId="0" xfId="0" applyBorder="1" applyAlignment="1">
      <alignment horizontal="center" vertical="top" wrapText="1"/>
    </xf>
    <xf numFmtId="0" fontId="0" fillId="0" borderId="10" xfId="0" applyBorder="1" applyAlignment="1">
      <alignment horizontal="center" vertical="top" wrapText="1"/>
    </xf>
    <xf numFmtId="0" fontId="0" fillId="0" borderId="3"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11" xfId="0" applyBorder="1" applyAlignment="1">
      <alignment horizontal="center" vertical="top" wrapText="1"/>
    </xf>
    <xf numFmtId="0" fontId="2" fillId="0" borderId="0" xfId="0" applyFont="1" applyAlignment="1">
      <alignment horizontal="center"/>
    </xf>
    <xf numFmtId="0" fontId="0" fillId="0" borderId="0" xfId="0" applyAlignment="1">
      <alignment horizontal="center"/>
    </xf>
    <xf numFmtId="0" fontId="2" fillId="0" borderId="4" xfId="0" applyFont="1"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2" fillId="0" borderId="12"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0" fillId="0" borderId="13" xfId="0" applyBorder="1" applyAlignment="1">
      <alignment horizontal="center"/>
    </xf>
    <xf numFmtId="0" fontId="0" fillId="0" borderId="0" xfId="0" applyAlignment="1">
      <alignment horizontal="center" wrapText="1"/>
    </xf>
    <xf numFmtId="37" fontId="2" fillId="0" borderId="1" xfId="0" applyNumberFormat="1" applyFont="1" applyBorder="1" applyAlignment="1">
      <alignment horizontal="center" wrapText="1"/>
    </xf>
    <xf numFmtId="37" fontId="0" fillId="0" borderId="1" xfId="0" applyNumberFormat="1" applyBorder="1" applyAlignment="1">
      <alignment horizontal="center" wrapText="1"/>
    </xf>
    <xf numFmtId="37" fontId="0" fillId="0" borderId="13" xfId="0" applyNumberFormat="1" applyBorder="1" applyAlignment="1">
      <alignment horizontal="center" wrapText="1"/>
    </xf>
    <xf numFmtId="37" fontId="2" fillId="0" borderId="4" xfId="0" applyNumberFormat="1" applyFont="1" applyBorder="1" applyAlignment="1">
      <alignment horizontal="center"/>
    </xf>
    <xf numFmtId="37" fontId="0" fillId="0" borderId="5" xfId="0" applyNumberFormat="1" applyBorder="1" applyAlignment="1">
      <alignment horizontal="center"/>
    </xf>
    <xf numFmtId="37" fontId="0" fillId="0" borderId="9" xfId="0" applyNumberFormat="1" applyBorder="1" applyAlignment="1">
      <alignment horizontal="center"/>
    </xf>
    <xf numFmtId="37" fontId="0" fillId="0" borderId="0" xfId="0" applyNumberFormat="1" applyBorder="1" applyAlignment="1">
      <alignment horizontal="center"/>
    </xf>
    <xf numFmtId="37" fontId="2" fillId="0" borderId="12" xfId="0" applyNumberFormat="1" applyFont="1" applyBorder="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4" fillId="3" borderId="0" xfId="0" applyFont="1" applyFill="1" applyAlignment="1">
      <alignment horizontal="center"/>
    </xf>
    <xf numFmtId="37" fontId="8" fillId="0" borderId="0" xfId="0" applyNumberFormat="1"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4</xdr:col>
      <xdr:colOff>180975</xdr:colOff>
      <xdr:row>0</xdr:row>
      <xdr:rowOff>0</xdr:rowOff>
    </xdr:from>
    <xdr:ext cx="175009" cy="263421"/>
    <xdr:sp macro="" textlink="">
      <xdr:nvSpPr>
        <xdr:cNvPr id="2" name="TextBox 1"/>
        <xdr:cNvSpPr txBox="1"/>
      </xdr:nvSpPr>
      <xdr:spPr>
        <a:xfrm>
          <a:off x="5962650" y="0"/>
          <a:ext cx="175009" cy="2634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2132766.5371148046</v>
      </c>
      <c r="C6" s="7">
        <v>1167729.204930902</v>
      </c>
      <c r="D6" s="7">
        <v>10255.534620960145</v>
      </c>
      <c r="E6" s="7">
        <v>0</v>
      </c>
      <c r="F6" s="17">
        <f t="shared" ref="F6:F37" si="0">SUM(B6:E6)</f>
        <v>3310751.2766666668</v>
      </c>
      <c r="K6" s="10">
        <v>2800000</v>
      </c>
      <c r="L6" s="7">
        <v>0</v>
      </c>
      <c r="M6" s="7"/>
      <c r="N6" s="7">
        <v>568170</v>
      </c>
      <c r="O6" s="7">
        <v>0</v>
      </c>
      <c r="P6" s="7"/>
      <c r="Q6" s="7">
        <v>13000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4246637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185913.2766666667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-529679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713876</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937601.99999999988</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3310751.2766666664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3310751.2766666668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2132766.5371148046</v>
      </c>
      <c r="C60" s="7">
        <f>SUM(C6:C58)</f>
        <v>1167729.204930902</v>
      </c>
      <c r="D60" s="7">
        <f>SUM(D6:D58)</f>
        <v>10255.534620960145</v>
      </c>
      <c r="E60" s="7">
        <f>SUM(E6:E58)</f>
        <v>0</v>
      </c>
      <c r="F60" s="17">
        <f>SUM(F6:F58)</f>
        <v>3310751.2766666668</v>
      </c>
      <c r="K60" s="10">
        <f>SUM(K6:K58)</f>
        <v>2800000</v>
      </c>
      <c r="L60" s="7">
        <f>SUM(L6:L58)</f>
        <v>0</v>
      </c>
      <c r="M60" s="7"/>
      <c r="N60" s="7">
        <f>SUM(N6:N58)</f>
        <v>568170</v>
      </c>
      <c r="O60" s="7">
        <f>SUM(O6:O58)</f>
        <v>0</v>
      </c>
      <c r="P60" s="7"/>
      <c r="Q60" s="7">
        <f>SUM(Q6:Q58)</f>
        <v>13000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Italic"Alabama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292195.74565897021</v>
      </c>
      <c r="C8" s="7">
        <v>3162530.468816313</v>
      </c>
      <c r="D8" s="7">
        <v>-13983.454475283681</v>
      </c>
      <c r="E8" s="7">
        <v>0</v>
      </c>
      <c r="F8" s="17">
        <f t="shared" si="0"/>
        <v>3440742.76</v>
      </c>
      <c r="H8" s="4" t="s">
        <v>64</v>
      </c>
      <c r="I8" s="13"/>
      <c r="K8" s="10">
        <v>0</v>
      </c>
      <c r="L8" s="7">
        <v>0</v>
      </c>
      <c r="M8" s="7"/>
      <c r="N8" s="7">
        <v>5266318</v>
      </c>
      <c r="O8" s="7">
        <v>0</v>
      </c>
      <c r="P8" s="7"/>
      <c r="Q8" s="7">
        <v>10907</v>
      </c>
      <c r="R8" s="7">
        <v>0</v>
      </c>
      <c r="S8" s="7"/>
      <c r="T8" s="7">
        <v>0</v>
      </c>
      <c r="U8" s="17">
        <v>0</v>
      </c>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100984376</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15711384</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1016490.69</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768049.31000000029</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1472917.5463450828</v>
      </c>
      <c r="C19" s="7">
        <v>27571943.965317979</v>
      </c>
      <c r="D19" s="7">
        <v>-104763.61166306857</v>
      </c>
      <c r="E19" s="7">
        <v>0</v>
      </c>
      <c r="F19" s="17">
        <f t="shared" si="0"/>
        <v>28940097.899999991</v>
      </c>
      <c r="H19" s="4" t="s">
        <v>72</v>
      </c>
      <c r="I19" s="14">
        <v>31395970.34</v>
      </c>
      <c r="K19" s="10">
        <v>4451000</v>
      </c>
      <c r="L19" s="7">
        <v>3470000</v>
      </c>
      <c r="M19" s="7"/>
      <c r="N19" s="7">
        <v>59749000</v>
      </c>
      <c r="O19" s="7">
        <v>39945000</v>
      </c>
      <c r="P19" s="7"/>
      <c r="Q19" s="7">
        <v>1300000</v>
      </c>
      <c r="R19" s="7">
        <v>1500000</v>
      </c>
      <c r="S19" s="7"/>
      <c r="T19" s="7">
        <v>8000000</v>
      </c>
      <c r="U19" s="17">
        <v>2700000</v>
      </c>
    </row>
    <row r="20" spans="1:21">
      <c r="A20" t="s">
        <v>14</v>
      </c>
      <c r="B20" s="10">
        <v>6576.2247838514159</v>
      </c>
      <c r="C20" s="7">
        <v>555216.63375590357</v>
      </c>
      <c r="D20" s="7">
        <v>418.14146024488764</v>
      </c>
      <c r="E20" s="7">
        <v>0</v>
      </c>
      <c r="F20" s="17">
        <f t="shared" si="0"/>
        <v>562210.99999999988</v>
      </c>
      <c r="H20" s="4" t="s">
        <v>73</v>
      </c>
      <c r="I20" s="14">
        <v>15711384</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38146878</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33226067.659999996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33226067.659999989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3055</v>
      </c>
      <c r="D48" s="7">
        <v>0</v>
      </c>
      <c r="E48" s="7">
        <v>0</v>
      </c>
      <c r="F48" s="17">
        <f t="shared" si="1"/>
        <v>3055</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22198.152930566059</v>
      </c>
      <c r="C50" s="7">
        <v>257758.92027783114</v>
      </c>
      <c r="D50" s="7">
        <v>3.9267916027889695</v>
      </c>
      <c r="E50" s="7">
        <v>0</v>
      </c>
      <c r="F50" s="17">
        <f t="shared" si="1"/>
        <v>279961</v>
      </c>
      <c r="K50" s="10">
        <v>8142</v>
      </c>
      <c r="L50" s="7">
        <v>4861.5120000000006</v>
      </c>
      <c r="M50" s="7"/>
      <c r="N50" s="7">
        <v>742939</v>
      </c>
      <c r="O50" s="7">
        <v>445278.48800000001</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1793887.6697184704</v>
      </c>
      <c r="C60" s="7">
        <f>SUM(C6:C58)</f>
        <v>31550504.988168027</v>
      </c>
      <c r="D60" s="7">
        <f>SUM(D6:D58)</f>
        <v>-118324.99788650457</v>
      </c>
      <c r="E60" s="7">
        <f>SUM(E6:E58)</f>
        <v>0</v>
      </c>
      <c r="F60" s="17">
        <f>SUM(F6:F58)</f>
        <v>33226067.659999989</v>
      </c>
      <c r="K60" s="10">
        <f>SUM(K6:K58)</f>
        <v>4459142</v>
      </c>
      <c r="L60" s="7">
        <f>SUM(L6:L58)</f>
        <v>3474861.5120000001</v>
      </c>
      <c r="M60" s="7"/>
      <c r="N60" s="7">
        <f>SUM(N6:N58)</f>
        <v>65758257</v>
      </c>
      <c r="O60" s="7">
        <f>SUM(O6:O58)</f>
        <v>40390278.487999998</v>
      </c>
      <c r="P60" s="7"/>
      <c r="Q60" s="7">
        <f>SUM(Q6:Q58)</f>
        <v>1310907</v>
      </c>
      <c r="R60" s="7">
        <f>SUM(R6:R58)</f>
        <v>1500000</v>
      </c>
      <c r="S60" s="7"/>
      <c r="T60" s="7">
        <f>SUM(T6:T58)</f>
        <v>8000000</v>
      </c>
      <c r="U60" s="17">
        <f>SUM(U6:U58)</f>
        <v>2700000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757689.30152250186</v>
      </c>
      <c r="C6" s="7">
        <v>196427.49921255259</v>
      </c>
      <c r="D6" s="7">
        <v>0</v>
      </c>
      <c r="E6" s="7">
        <v>0</v>
      </c>
      <c r="F6" s="17">
        <f t="shared" ref="F6:F37" si="0">SUM(B6:E6)</f>
        <v>954116.80073505442</v>
      </c>
      <c r="K6" s="10">
        <v>1534000</v>
      </c>
      <c r="L6" s="7">
        <v>0</v>
      </c>
      <c r="M6" s="7"/>
      <c r="N6" s="7">
        <v>183188</v>
      </c>
      <c r="O6" s="7">
        <v>0</v>
      </c>
      <c r="P6" s="7"/>
      <c r="Q6" s="7">
        <v>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425661.95515050302</v>
      </c>
      <c r="C9" s="7">
        <v>110350.92245875651</v>
      </c>
      <c r="D9" s="7">
        <v>0</v>
      </c>
      <c r="E9" s="7">
        <v>0</v>
      </c>
      <c r="F9" s="17">
        <f t="shared" si="0"/>
        <v>536012.87760925957</v>
      </c>
      <c r="H9" s="4"/>
      <c r="I9" s="13"/>
      <c r="K9" s="10">
        <v>900802</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55014949.354009047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870236.59000000008</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913687.98999999964</v>
      </c>
      <c r="K15" s="10"/>
      <c r="L15" s="7"/>
      <c r="M15" s="7"/>
      <c r="N15" s="7"/>
      <c r="O15" s="7"/>
      <c r="P15" s="7"/>
      <c r="Q15" s="7"/>
      <c r="R15" s="7"/>
      <c r="S15" s="7"/>
      <c r="T15" s="7"/>
      <c r="U15" s="17"/>
    </row>
    <row r="16" spans="1:21">
      <c r="A16" t="s">
        <v>10</v>
      </c>
      <c r="B16" s="10">
        <v>99654.157609124421</v>
      </c>
      <c r="C16" s="7">
        <v>25834.886312846458</v>
      </c>
      <c r="D16" s="7">
        <v>0</v>
      </c>
      <c r="E16" s="7">
        <v>0</v>
      </c>
      <c r="F16" s="17">
        <f t="shared" si="0"/>
        <v>125489.04392197088</v>
      </c>
      <c r="H16" s="4" t="s">
        <v>70</v>
      </c>
      <c r="I16" s="14">
        <v>0</v>
      </c>
      <c r="K16" s="10">
        <v>183899</v>
      </c>
      <c r="L16" s="7">
        <v>0</v>
      </c>
      <c r="M16" s="7"/>
      <c r="N16" s="7">
        <v>15255</v>
      </c>
      <c r="O16" s="7">
        <v>403.45</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5725000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-7993993.0602189256</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11334052</v>
      </c>
      <c r="K22" s="10"/>
      <c r="L22" s="7"/>
      <c r="M22" s="7"/>
      <c r="N22" s="7"/>
      <c r="O22" s="7"/>
      <c r="P22" s="7"/>
      <c r="Q22" s="7"/>
      <c r="R22" s="7"/>
      <c r="S22" s="7"/>
      <c r="T22" s="7"/>
      <c r="U22" s="17"/>
    </row>
    <row r="23" spans="1:21">
      <c r="A23" t="s">
        <v>17</v>
      </c>
      <c r="B23" s="10">
        <v>10905.411346956977</v>
      </c>
      <c r="C23" s="7">
        <v>2827.1782041300689</v>
      </c>
      <c r="D23" s="7">
        <v>0</v>
      </c>
      <c r="E23" s="7">
        <v>0</v>
      </c>
      <c r="F23" s="17">
        <f t="shared" si="0"/>
        <v>13732.589551087045</v>
      </c>
      <c r="H23" s="4" t="s">
        <v>76</v>
      </c>
      <c r="I23" s="14"/>
      <c r="K23" s="10"/>
      <c r="L23" s="7"/>
      <c r="M23" s="7"/>
      <c r="N23" s="7"/>
      <c r="O23" s="7"/>
      <c r="P23" s="7"/>
      <c r="Q23" s="7"/>
      <c r="R23" s="7"/>
      <c r="S23" s="7"/>
      <c r="T23" s="7"/>
      <c r="U23" s="17"/>
    </row>
    <row r="24" spans="1:21">
      <c r="A24" t="s">
        <v>18</v>
      </c>
      <c r="B24" s="10">
        <v>2654110.8658764213</v>
      </c>
      <c r="C24" s="7">
        <v>688066.14923740609</v>
      </c>
      <c r="D24" s="7">
        <v>2098.3813767020042</v>
      </c>
      <c r="E24" s="7">
        <v>0</v>
      </c>
      <c r="F24" s="17">
        <f t="shared" si="0"/>
        <v>3344275.3964905292</v>
      </c>
      <c r="H24" s="4" t="s">
        <v>77</v>
      </c>
      <c r="I24" s="14">
        <v>16936412.59</v>
      </c>
      <c r="K24" s="10">
        <v>2113595</v>
      </c>
      <c r="L24" s="7">
        <v>0</v>
      </c>
      <c r="M24" s="7"/>
      <c r="N24" s="7">
        <v>4148464</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30797402.404227979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30797402.404227972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10170212.367018834</v>
      </c>
      <c r="C30" s="7">
        <v>2632455.0150938081</v>
      </c>
      <c r="D30" s="7">
        <v>64449.501875414164</v>
      </c>
      <c r="E30" s="7">
        <v>0</v>
      </c>
      <c r="F30" s="17">
        <f t="shared" si="0"/>
        <v>12867116.883988054</v>
      </c>
      <c r="K30" s="10">
        <v>11860647</v>
      </c>
      <c r="L30" s="7">
        <v>0</v>
      </c>
      <c r="M30" s="7"/>
      <c r="N30" s="7">
        <v>4785032</v>
      </c>
      <c r="O30" s="7">
        <v>0</v>
      </c>
      <c r="P30" s="7"/>
      <c r="Q30" s="7">
        <v>0</v>
      </c>
      <c r="R30" s="7">
        <v>0</v>
      </c>
      <c r="S30" s="7"/>
      <c r="T30" s="7">
        <v>3735647</v>
      </c>
      <c r="U30" s="17">
        <v>0</v>
      </c>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v>16000</v>
      </c>
      <c r="L33" s="7">
        <v>0</v>
      </c>
      <c r="M33" s="7"/>
      <c r="N33" s="7">
        <v>4090</v>
      </c>
      <c r="O33" s="7">
        <v>0</v>
      </c>
      <c r="P33" s="7"/>
      <c r="Q33" s="7">
        <v>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4894020.6964805098</v>
      </c>
      <c r="C39" s="7">
        <v>1268752.5672758785</v>
      </c>
      <c r="D39" s="7">
        <v>0</v>
      </c>
      <c r="E39" s="7">
        <v>0</v>
      </c>
      <c r="F39" s="17">
        <f t="shared" si="1"/>
        <v>6162773.2637563888</v>
      </c>
      <c r="K39" s="10">
        <v>4275000</v>
      </c>
      <c r="L39" s="7">
        <v>0</v>
      </c>
      <c r="M39" s="7"/>
      <c r="N39" s="7">
        <v>225000</v>
      </c>
      <c r="O39" s="7">
        <v>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100513.08694140642</v>
      </c>
      <c r="C42" s="7">
        <v>26057.559828760495</v>
      </c>
      <c r="D42" s="7">
        <v>0</v>
      </c>
      <c r="E42" s="7">
        <v>0</v>
      </c>
      <c r="F42" s="17">
        <f t="shared" si="1"/>
        <v>126570.64677016692</v>
      </c>
      <c r="K42" s="10">
        <v>0</v>
      </c>
      <c r="L42" s="7">
        <v>0</v>
      </c>
      <c r="M42" s="7"/>
      <c r="N42" s="7">
        <v>320000</v>
      </c>
      <c r="O42" s="7">
        <v>50000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-16551.600790062337</v>
      </c>
      <c r="C47" s="7">
        <v>-4290.9270919142073</v>
      </c>
      <c r="D47" s="7">
        <v>0</v>
      </c>
      <c r="E47" s="7">
        <v>0</v>
      </c>
      <c r="F47" s="17">
        <f t="shared" si="1"/>
        <v>-20842.527881976544</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3954804.1846748879</v>
      </c>
      <c r="C49" s="7">
        <v>1025264.9658772516</v>
      </c>
      <c r="D49" s="7">
        <v>8812.5301402391342</v>
      </c>
      <c r="E49" s="7">
        <v>0</v>
      </c>
      <c r="F49" s="17">
        <f t="shared" si="1"/>
        <v>4988881.6806923784</v>
      </c>
      <c r="K49" s="10">
        <v>7200000</v>
      </c>
      <c r="L49" s="7">
        <v>0</v>
      </c>
      <c r="M49" s="7"/>
      <c r="N49" s="7">
        <v>1200000</v>
      </c>
      <c r="O49" s="7">
        <v>0</v>
      </c>
      <c r="P49" s="7"/>
      <c r="Q49" s="7">
        <v>0</v>
      </c>
      <c r="R49" s="7">
        <v>0</v>
      </c>
      <c r="S49" s="7"/>
      <c r="T49" s="7">
        <v>0</v>
      </c>
      <c r="U49" s="17">
        <v>0</v>
      </c>
    </row>
    <row r="50" spans="1:21">
      <c r="A50" t="s">
        <v>44</v>
      </c>
      <c r="B50" s="10">
        <v>1335546.1413681803</v>
      </c>
      <c r="C50" s="7">
        <v>363729.60722687648</v>
      </c>
      <c r="D50" s="7">
        <v>0</v>
      </c>
      <c r="E50" s="7">
        <v>0</v>
      </c>
      <c r="F50" s="17">
        <f t="shared" si="1"/>
        <v>1699275.7485950568</v>
      </c>
      <c r="K50" s="10">
        <v>651924</v>
      </c>
      <c r="L50" s="7">
        <v>280000</v>
      </c>
      <c r="M50" s="7"/>
      <c r="N50" s="7">
        <v>96657</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24386566.567199264</v>
      </c>
      <c r="C60" s="7">
        <f>SUM(C6:C58)</f>
        <v>6335475.4236363517</v>
      </c>
      <c r="D60" s="7">
        <f>SUM(D6:D58)</f>
        <v>75360.413392355302</v>
      </c>
      <c r="E60" s="7">
        <f>SUM(E6:E58)</f>
        <v>0</v>
      </c>
      <c r="F60" s="17">
        <f>SUM(F6:F58)</f>
        <v>30797402.404227972</v>
      </c>
      <c r="K60" s="10">
        <f>SUM(K6:K58)</f>
        <v>28735867</v>
      </c>
      <c r="L60" s="7">
        <f>SUM(L6:L58)</f>
        <v>280000</v>
      </c>
      <c r="M60" s="7"/>
      <c r="N60" s="7">
        <f>SUM(N6:N58)</f>
        <v>10977686</v>
      </c>
      <c r="O60" s="7">
        <f>SUM(O6:O58)</f>
        <v>50403.45</v>
      </c>
      <c r="P60" s="7"/>
      <c r="Q60" s="7">
        <f>SUM(Q6:Q58)</f>
        <v>0</v>
      </c>
      <c r="R60" s="7">
        <f>SUM(R6:R58)</f>
        <v>0</v>
      </c>
      <c r="S60" s="7"/>
      <c r="T60" s="7">
        <f>SUM(T6:T58)</f>
        <v>3735647</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Italic"Andrew Jackson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-224039.38215096953</v>
      </c>
      <c r="C8" s="7">
        <v>0</v>
      </c>
      <c r="D8" s="7">
        <v>317791.63366427366</v>
      </c>
      <c r="E8" s="7">
        <v>0</v>
      </c>
      <c r="F8" s="17">
        <f t="shared" si="0"/>
        <v>93752.251513304131</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8900858</v>
      </c>
      <c r="K10" s="10"/>
      <c r="L10" s="7"/>
      <c r="M10" s="7"/>
      <c r="N10" s="7"/>
      <c r="O10" s="7"/>
      <c r="P10" s="7"/>
      <c r="Q10" s="7"/>
      <c r="R10" s="7"/>
      <c r="S10" s="7"/>
      <c r="T10" s="7"/>
      <c r="U10" s="17"/>
    </row>
    <row r="11" spans="1:21">
      <c r="A11" t="s">
        <v>5</v>
      </c>
      <c r="B11" s="10">
        <v>146.92277003982534</v>
      </c>
      <c r="C11" s="7">
        <v>0</v>
      </c>
      <c r="D11" s="7">
        <v>-2027.2488283262064</v>
      </c>
      <c r="E11" s="7">
        <v>0</v>
      </c>
      <c r="F11" s="17">
        <f t="shared" si="0"/>
        <v>-1880.3260582863811</v>
      </c>
      <c r="H11" s="4"/>
      <c r="I11" s="14"/>
      <c r="K11" s="10">
        <v>0</v>
      </c>
      <c r="L11" s="7">
        <v>0</v>
      </c>
      <c r="M11" s="7"/>
      <c r="N11" s="7">
        <v>0</v>
      </c>
      <c r="O11" s="7">
        <v>0</v>
      </c>
      <c r="P11" s="7"/>
      <c r="Q11" s="7">
        <v>25000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6337185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1046036</v>
      </c>
      <c r="K14" s="10"/>
      <c r="L14" s="7"/>
      <c r="M14" s="7"/>
      <c r="N14" s="7"/>
      <c r="O14" s="7"/>
      <c r="P14" s="7"/>
      <c r="Q14" s="7"/>
      <c r="R14" s="7"/>
      <c r="S14" s="7"/>
      <c r="T14" s="7"/>
      <c r="U14" s="17"/>
    </row>
    <row r="15" spans="1:21">
      <c r="A15" t="s">
        <v>9</v>
      </c>
      <c r="B15" s="10">
        <v>1382.1920436703099</v>
      </c>
      <c r="C15" s="7">
        <v>0</v>
      </c>
      <c r="D15" s="7">
        <v>92876.081688772712</v>
      </c>
      <c r="E15" s="7">
        <v>0</v>
      </c>
      <c r="F15" s="17">
        <f t="shared" si="0"/>
        <v>94258.27373244302</v>
      </c>
      <c r="H15" s="4" t="s">
        <v>69</v>
      </c>
      <c r="I15" s="14">
        <v>5124122.7100000009</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6323702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-571866</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30111.078545475859</v>
      </c>
      <c r="C24" s="7">
        <v>0</v>
      </c>
      <c r="D24" s="7">
        <v>3468453.6437395778</v>
      </c>
      <c r="E24" s="7">
        <v>0</v>
      </c>
      <c r="F24" s="17">
        <f t="shared" si="0"/>
        <v>3498564.7222850537</v>
      </c>
      <c r="H24" s="4" t="s">
        <v>77</v>
      </c>
      <c r="I24" s="14">
        <v>1806541</v>
      </c>
      <c r="K24" s="10">
        <v>3959</v>
      </c>
      <c r="L24" s="7">
        <v>0</v>
      </c>
      <c r="M24" s="7"/>
      <c r="N24" s="7">
        <v>0</v>
      </c>
      <c r="O24" s="7">
        <v>0</v>
      </c>
      <c r="P24" s="7"/>
      <c r="Q24" s="7">
        <v>4945041</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13849824.710000001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13849824.710000001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33940.861658325448</v>
      </c>
      <c r="E31" s="7">
        <v>0</v>
      </c>
      <c r="F31" s="17">
        <f t="shared" si="0"/>
        <v>33940.861658325448</v>
      </c>
      <c r="K31" s="10"/>
      <c r="L31" s="7"/>
      <c r="M31" s="7"/>
      <c r="N31" s="7"/>
      <c r="O31" s="7"/>
      <c r="P31" s="7"/>
      <c r="Q31" s="7"/>
      <c r="R31" s="7"/>
      <c r="S31" s="7"/>
      <c r="T31" s="7"/>
      <c r="U31" s="17"/>
    </row>
    <row r="32" spans="1:21">
      <c r="A32" t="s">
        <v>26</v>
      </c>
      <c r="B32" s="10">
        <v>0</v>
      </c>
      <c r="C32" s="7">
        <v>0</v>
      </c>
      <c r="D32" s="7">
        <v>1321</v>
      </c>
      <c r="E32" s="7">
        <v>0</v>
      </c>
      <c r="F32" s="17">
        <f t="shared" si="0"/>
        <v>1321</v>
      </c>
      <c r="K32" s="10"/>
      <c r="L32" s="7"/>
      <c r="M32" s="7"/>
      <c r="N32" s="7"/>
      <c r="O32" s="7"/>
      <c r="P32" s="7"/>
      <c r="Q32" s="7"/>
      <c r="R32" s="7"/>
      <c r="S32" s="7"/>
      <c r="T32" s="7"/>
      <c r="U32" s="17"/>
    </row>
    <row r="33" spans="1:21">
      <c r="A33" t="s">
        <v>27</v>
      </c>
      <c r="B33" s="10">
        <v>0</v>
      </c>
      <c r="C33" s="7">
        <v>0</v>
      </c>
      <c r="D33" s="7">
        <v>19329.120498213611</v>
      </c>
      <c r="E33" s="7">
        <v>0</v>
      </c>
      <c r="F33" s="17">
        <f t="shared" si="0"/>
        <v>19329.120498213611</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2576.1363269700041</v>
      </c>
      <c r="C37" s="7">
        <v>0</v>
      </c>
      <c r="D37" s="7">
        <v>-27235.682575951767</v>
      </c>
      <c r="E37" s="7">
        <v>0</v>
      </c>
      <c r="F37" s="17">
        <f t="shared" si="0"/>
        <v>-24659.546248981762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3969.2497228541924</v>
      </c>
      <c r="E40" s="7">
        <v>0</v>
      </c>
      <c r="F40" s="17">
        <f t="shared" si="1"/>
        <v>3969.2497228541924</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-4368.3069940156074</v>
      </c>
      <c r="C42" s="7">
        <v>0</v>
      </c>
      <c r="D42" s="7">
        <v>356400.20714014053</v>
      </c>
      <c r="E42" s="7">
        <v>0</v>
      </c>
      <c r="F42" s="17">
        <f t="shared" si="1"/>
        <v>352031.90014612494</v>
      </c>
      <c r="K42" s="10">
        <v>8000</v>
      </c>
      <c r="L42" s="7">
        <v>4500</v>
      </c>
      <c r="M42" s="7"/>
      <c r="N42" s="7">
        <v>0</v>
      </c>
      <c r="O42" s="7">
        <v>0</v>
      </c>
      <c r="P42" s="7"/>
      <c r="Q42" s="7">
        <v>792000</v>
      </c>
      <c r="R42" s="7">
        <v>445500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5936.0548681797845</v>
      </c>
      <c r="E48" s="7">
        <v>0</v>
      </c>
      <c r="F48" s="17">
        <f t="shared" si="1"/>
        <v>5936.0548681797845</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193208.91512313814</v>
      </c>
      <c r="C50" s="7">
        <v>0</v>
      </c>
      <c r="D50" s="7">
        <v>9561438.9716957957</v>
      </c>
      <c r="E50" s="7">
        <v>0</v>
      </c>
      <c r="F50" s="17">
        <f t="shared" si="1"/>
        <v>9754647.8868189342</v>
      </c>
      <c r="K50" s="10">
        <v>58755</v>
      </c>
      <c r="L50" s="7">
        <v>11987.105000000001</v>
      </c>
      <c r="M50" s="7"/>
      <c r="N50" s="7">
        <v>0</v>
      </c>
      <c r="O50" s="7">
        <v>0</v>
      </c>
      <c r="P50" s="7"/>
      <c r="Q50" s="7">
        <v>11692213</v>
      </c>
      <c r="R50" s="7">
        <v>2385439.895</v>
      </c>
      <c r="S50" s="7"/>
      <c r="T50" s="7">
        <v>0</v>
      </c>
      <c r="U50" s="17">
        <v>0</v>
      </c>
    </row>
    <row r="51" spans="1:21">
      <c r="A51" t="s">
        <v>45</v>
      </c>
      <c r="B51" s="10">
        <v>0</v>
      </c>
      <c r="C51" s="7">
        <v>0</v>
      </c>
      <c r="D51" s="7">
        <v>18613.261063836657</v>
      </c>
      <c r="E51" s="7">
        <v>0</v>
      </c>
      <c r="F51" s="17">
        <f t="shared" si="1"/>
        <v>18613.261063836657</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-982.44433569099056</v>
      </c>
      <c r="C60" s="7">
        <f>SUM(C6:C58)</f>
        <v>0</v>
      </c>
      <c r="D60" s="7">
        <f>SUM(D6:D58)</f>
        <v>13850807.154335693</v>
      </c>
      <c r="E60" s="7">
        <f>SUM(E6:E58)</f>
        <v>0</v>
      </c>
      <c r="F60" s="17">
        <f>SUM(F6:F58)</f>
        <v>13849824.710000001</v>
      </c>
      <c r="K60" s="10">
        <f>SUM(K6:K58)</f>
        <v>70714</v>
      </c>
      <c r="L60" s="7">
        <f>SUM(L6:L58)</f>
        <v>16487.105000000003</v>
      </c>
      <c r="M60" s="7"/>
      <c r="N60" s="7">
        <f>SUM(N6:N58)</f>
        <v>0</v>
      </c>
      <c r="O60" s="7">
        <f>SUM(O6:O58)</f>
        <v>0</v>
      </c>
      <c r="P60" s="7"/>
      <c r="Q60" s="7">
        <f>SUM(Q6:Q58)</f>
        <v>17454254</v>
      </c>
      <c r="R60" s="7">
        <f>SUM(R6:R58)</f>
        <v>2830939.895</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Italic"Bankers Commercial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39491.948426089752</v>
      </c>
      <c r="E6" s="7">
        <v>0</v>
      </c>
      <c r="F6" s="17">
        <f t="shared" ref="F6:F37" si="0">SUM(B6:E6)</f>
        <v>39491.948426089752</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46694.560165765695</v>
      </c>
      <c r="E8" s="7">
        <v>0</v>
      </c>
      <c r="F8" s="17">
        <f t="shared" si="0"/>
        <v>46694.560165765695</v>
      </c>
      <c r="H8" s="4" t="s">
        <v>64</v>
      </c>
      <c r="I8" s="13"/>
      <c r="K8" s="10"/>
      <c r="L8" s="7"/>
      <c r="M8" s="7"/>
      <c r="N8" s="7"/>
      <c r="O8" s="7"/>
      <c r="P8" s="7"/>
      <c r="Q8" s="7"/>
      <c r="R8" s="7"/>
      <c r="S8" s="7"/>
      <c r="T8" s="7"/>
      <c r="U8" s="17"/>
    </row>
    <row r="9" spans="1:21">
      <c r="A9" t="s">
        <v>3</v>
      </c>
      <c r="B9" s="10">
        <v>11473.1981629408</v>
      </c>
      <c r="C9" s="7">
        <v>0</v>
      </c>
      <c r="D9" s="7">
        <v>1860839.5302461253</v>
      </c>
      <c r="E9" s="7">
        <v>0</v>
      </c>
      <c r="F9" s="17">
        <f t="shared" si="0"/>
        <v>1872312.7284090661</v>
      </c>
      <c r="H9" s="4"/>
      <c r="I9" s="13"/>
      <c r="K9" s="10">
        <v>0</v>
      </c>
      <c r="L9" s="7">
        <v>0</v>
      </c>
      <c r="M9" s="7"/>
      <c r="N9" s="7">
        <v>0</v>
      </c>
      <c r="O9" s="7">
        <v>0</v>
      </c>
      <c r="P9" s="7"/>
      <c r="Q9" s="7">
        <v>3284134</v>
      </c>
      <c r="R9" s="7">
        <v>0</v>
      </c>
      <c r="S9" s="7"/>
      <c r="T9" s="7">
        <v>0</v>
      </c>
      <c r="U9" s="17">
        <v>0</v>
      </c>
    </row>
    <row r="10" spans="1:21">
      <c r="A10" t="s">
        <v>4</v>
      </c>
      <c r="B10" s="10">
        <v>0</v>
      </c>
      <c r="C10" s="7">
        <v>0</v>
      </c>
      <c r="D10" s="7">
        <v>0</v>
      </c>
      <c r="E10" s="7">
        <v>0</v>
      </c>
      <c r="F10" s="17">
        <f t="shared" si="0"/>
        <v>0</v>
      </c>
      <c r="H10" s="4" t="s">
        <v>65</v>
      </c>
      <c r="I10" s="14">
        <v>51277703.869999982</v>
      </c>
      <c r="K10" s="10"/>
      <c r="L10" s="7"/>
      <c r="M10" s="7"/>
      <c r="N10" s="7"/>
      <c r="O10" s="7"/>
      <c r="P10" s="7"/>
      <c r="Q10" s="7"/>
      <c r="R10" s="7"/>
      <c r="S10" s="7"/>
      <c r="T10" s="7"/>
      <c r="U10" s="17"/>
    </row>
    <row r="11" spans="1:21">
      <c r="A11" t="s">
        <v>5</v>
      </c>
      <c r="B11" s="10">
        <v>0</v>
      </c>
      <c r="C11" s="7">
        <v>0</v>
      </c>
      <c r="D11" s="7">
        <v>60513.267094229028</v>
      </c>
      <c r="E11" s="7">
        <v>0</v>
      </c>
      <c r="F11" s="17">
        <f t="shared" si="0"/>
        <v>60513.267094229028</v>
      </c>
      <c r="H11" s="4"/>
      <c r="I11" s="14"/>
      <c r="K11" s="10">
        <v>0</v>
      </c>
      <c r="L11" s="7">
        <v>0</v>
      </c>
      <c r="M11" s="7"/>
      <c r="N11" s="7">
        <v>0</v>
      </c>
      <c r="O11" s="7">
        <v>0</v>
      </c>
      <c r="P11" s="7"/>
      <c r="Q11" s="7">
        <v>106857</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51277703.869999982</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1055443.51</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908705.49799999991</v>
      </c>
      <c r="K15" s="10"/>
      <c r="L15" s="7"/>
      <c r="M15" s="7"/>
      <c r="N15" s="7"/>
      <c r="O15" s="7"/>
      <c r="P15" s="7"/>
      <c r="Q15" s="7"/>
      <c r="R15" s="7"/>
      <c r="S15" s="7"/>
      <c r="T15" s="7"/>
      <c r="U15" s="17"/>
    </row>
    <row r="16" spans="1:21">
      <c r="A16" t="s">
        <v>10</v>
      </c>
      <c r="B16" s="10">
        <v>0</v>
      </c>
      <c r="C16" s="7">
        <v>0</v>
      </c>
      <c r="D16" s="7">
        <v>1942902.6297409262</v>
      </c>
      <c r="E16" s="7">
        <v>0</v>
      </c>
      <c r="F16" s="17">
        <f t="shared" si="0"/>
        <v>1942902.6297409262</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2893.4388442232994</v>
      </c>
      <c r="E18" s="7">
        <v>0</v>
      </c>
      <c r="F18" s="17">
        <f t="shared" si="0"/>
        <v>2893.4388442232994</v>
      </c>
      <c r="H18" s="4" t="s">
        <v>71</v>
      </c>
      <c r="I18" s="14"/>
      <c r="K18" s="10">
        <v>0</v>
      </c>
      <c r="L18" s="7">
        <v>0</v>
      </c>
      <c r="M18" s="7"/>
      <c r="N18" s="7">
        <v>0</v>
      </c>
      <c r="O18" s="7">
        <v>0</v>
      </c>
      <c r="P18" s="7"/>
      <c r="Q18" s="7">
        <v>13000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10965530.695538932</v>
      </c>
      <c r="E20" s="7">
        <v>0</v>
      </c>
      <c r="F20" s="17">
        <f t="shared" si="0"/>
        <v>10965530.695538932</v>
      </c>
      <c r="H20" s="4" t="s">
        <v>73</v>
      </c>
      <c r="I20" s="14">
        <v>51277703.869999982</v>
      </c>
      <c r="K20" s="10">
        <v>0</v>
      </c>
      <c r="L20" s="7">
        <v>0</v>
      </c>
      <c r="M20" s="7"/>
      <c r="N20" s="7">
        <v>0</v>
      </c>
      <c r="O20" s="7">
        <v>0</v>
      </c>
      <c r="P20" s="7"/>
      <c r="Q20" s="7">
        <v>17500000</v>
      </c>
      <c r="R20" s="7">
        <v>0</v>
      </c>
      <c r="S20" s="7"/>
      <c r="T20" s="7">
        <v>0</v>
      </c>
      <c r="U20" s="17">
        <v>0</v>
      </c>
    </row>
    <row r="21" spans="1:21">
      <c r="A21" t="s">
        <v>15</v>
      </c>
      <c r="B21" s="10">
        <v>0</v>
      </c>
      <c r="C21" s="7">
        <v>0</v>
      </c>
      <c r="D21" s="7">
        <v>106364.56565224998</v>
      </c>
      <c r="E21" s="7">
        <v>0</v>
      </c>
      <c r="F21" s="17">
        <f t="shared" si="0"/>
        <v>106364.56565224998</v>
      </c>
      <c r="H21" s="4" t="s">
        <v>74</v>
      </c>
      <c r="I21" s="14"/>
      <c r="K21" s="10"/>
      <c r="L21" s="7"/>
      <c r="M21" s="7"/>
      <c r="N21" s="7"/>
      <c r="O21" s="7"/>
      <c r="P21" s="7"/>
      <c r="Q21" s="7"/>
      <c r="R21" s="7"/>
      <c r="S21" s="7"/>
      <c r="T21" s="7"/>
      <c r="U21" s="17"/>
    </row>
    <row r="22" spans="1:21">
      <c r="A22" t="s">
        <v>16</v>
      </c>
      <c r="B22" s="10">
        <v>0</v>
      </c>
      <c r="C22" s="7">
        <v>0</v>
      </c>
      <c r="D22" s="7">
        <v>998045.75262950757</v>
      </c>
      <c r="E22" s="7">
        <v>0</v>
      </c>
      <c r="F22" s="17">
        <f t="shared" si="0"/>
        <v>998045.75262950757</v>
      </c>
      <c r="H22" s="4" t="s">
        <v>75</v>
      </c>
      <c r="I22" s="14">
        <v>0</v>
      </c>
      <c r="K22" s="10">
        <v>0</v>
      </c>
      <c r="L22" s="7">
        <v>0</v>
      </c>
      <c r="M22" s="7"/>
      <c r="N22" s="7">
        <v>0</v>
      </c>
      <c r="O22" s="7">
        <v>0</v>
      </c>
      <c r="P22" s="7"/>
      <c r="Q22" s="7">
        <v>1150000</v>
      </c>
      <c r="R22" s="7">
        <v>0</v>
      </c>
      <c r="S22" s="7"/>
      <c r="T22" s="7">
        <v>0</v>
      </c>
      <c r="U22" s="17">
        <v>0</v>
      </c>
    </row>
    <row r="23" spans="1:21">
      <c r="A23" t="s">
        <v>17</v>
      </c>
      <c r="B23" s="10">
        <v>0</v>
      </c>
      <c r="C23" s="7">
        <v>0</v>
      </c>
      <c r="D23" s="7">
        <v>169396.6222900491</v>
      </c>
      <c r="E23" s="7">
        <v>0</v>
      </c>
      <c r="F23" s="17">
        <f t="shared" si="0"/>
        <v>169396.6222900491</v>
      </c>
      <c r="H23" s="4" t="s">
        <v>76</v>
      </c>
      <c r="I23" s="14"/>
      <c r="K23" s="10"/>
      <c r="L23" s="7"/>
      <c r="M23" s="7"/>
      <c r="N23" s="7"/>
      <c r="O23" s="7"/>
      <c r="P23" s="7"/>
      <c r="Q23" s="7"/>
      <c r="R23" s="7"/>
      <c r="S23" s="7"/>
      <c r="T23" s="7"/>
      <c r="U23" s="17"/>
    </row>
    <row r="24" spans="1:21">
      <c r="A24" t="s">
        <v>18</v>
      </c>
      <c r="B24" s="10">
        <v>0</v>
      </c>
      <c r="C24" s="7">
        <v>0</v>
      </c>
      <c r="D24" s="7">
        <v>23708.888159996586</v>
      </c>
      <c r="E24" s="7">
        <v>0</v>
      </c>
      <c r="F24" s="17">
        <f t="shared" si="0"/>
        <v>23708.888159996586</v>
      </c>
      <c r="H24" s="4" t="s">
        <v>77</v>
      </c>
      <c r="I24" s="14">
        <v>24110956.023430891</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29130896.854569092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29130896.854569077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5095.1670634929351</v>
      </c>
      <c r="E30" s="7">
        <v>0</v>
      </c>
      <c r="F30" s="17">
        <f t="shared" si="0"/>
        <v>5095.1670634929351</v>
      </c>
      <c r="K30" s="10"/>
      <c r="L30" s="7"/>
      <c r="M30" s="7"/>
      <c r="N30" s="7"/>
      <c r="O30" s="7"/>
      <c r="P30" s="7"/>
      <c r="Q30" s="7"/>
      <c r="R30" s="7"/>
      <c r="S30" s="7"/>
      <c r="T30" s="7"/>
      <c r="U30" s="17"/>
    </row>
    <row r="31" spans="1:21">
      <c r="A31" t="s">
        <v>25</v>
      </c>
      <c r="B31" s="10">
        <v>0</v>
      </c>
      <c r="C31" s="7">
        <v>0</v>
      </c>
      <c r="D31" s="7">
        <v>2977645.494827087</v>
      </c>
      <c r="E31" s="7">
        <v>0</v>
      </c>
      <c r="F31" s="17">
        <f t="shared" si="0"/>
        <v>2977645.494827087</v>
      </c>
      <c r="K31" s="10"/>
      <c r="L31" s="7"/>
      <c r="M31" s="7"/>
      <c r="N31" s="7"/>
      <c r="O31" s="7"/>
      <c r="P31" s="7"/>
      <c r="Q31" s="7"/>
      <c r="R31" s="7"/>
      <c r="S31" s="7"/>
      <c r="T31" s="7"/>
      <c r="U31" s="17"/>
    </row>
    <row r="32" spans="1:21">
      <c r="A32" t="s">
        <v>26</v>
      </c>
      <c r="B32" s="10">
        <v>0</v>
      </c>
      <c r="C32" s="7">
        <v>0</v>
      </c>
      <c r="D32" s="7">
        <v>0.2000000000007276</v>
      </c>
      <c r="E32" s="7">
        <v>0</v>
      </c>
      <c r="F32" s="17">
        <f t="shared" si="0"/>
        <v>0.2000000000007276</v>
      </c>
      <c r="K32" s="10"/>
      <c r="L32" s="7"/>
      <c r="M32" s="7"/>
      <c r="N32" s="7"/>
      <c r="O32" s="7"/>
      <c r="P32" s="7"/>
      <c r="Q32" s="7"/>
      <c r="R32" s="7"/>
      <c r="S32" s="7"/>
      <c r="T32" s="7"/>
      <c r="U32" s="17"/>
    </row>
    <row r="33" spans="1:21">
      <c r="A33" t="s">
        <v>27</v>
      </c>
      <c r="B33" s="10">
        <v>0</v>
      </c>
      <c r="C33" s="7">
        <v>0</v>
      </c>
      <c r="D33" s="7">
        <v>2631158.3294777712</v>
      </c>
      <c r="E33" s="7">
        <v>0</v>
      </c>
      <c r="F33" s="17">
        <f t="shared" si="0"/>
        <v>2631158.3294777712</v>
      </c>
      <c r="K33" s="10"/>
      <c r="L33" s="7"/>
      <c r="M33" s="7"/>
      <c r="N33" s="7"/>
      <c r="O33" s="7"/>
      <c r="P33" s="7"/>
      <c r="Q33" s="7"/>
      <c r="R33" s="7"/>
      <c r="S33" s="7"/>
      <c r="T33" s="7"/>
      <c r="U33" s="17"/>
    </row>
    <row r="34" spans="1:21">
      <c r="A34" t="s">
        <v>28</v>
      </c>
      <c r="B34" s="10">
        <v>-3991.1630620895062</v>
      </c>
      <c r="C34" s="7">
        <v>0</v>
      </c>
      <c r="D34" s="7">
        <v>3434781.0192456865</v>
      </c>
      <c r="E34" s="7">
        <v>0</v>
      </c>
      <c r="F34" s="17">
        <f t="shared" si="0"/>
        <v>3430789.8561835969</v>
      </c>
      <c r="K34" s="10">
        <v>0</v>
      </c>
      <c r="L34" s="7">
        <v>0</v>
      </c>
      <c r="M34" s="7"/>
      <c r="N34" s="7">
        <v>0</v>
      </c>
      <c r="O34" s="7">
        <v>0</v>
      </c>
      <c r="P34" s="7"/>
      <c r="Q34" s="7">
        <v>10000000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-99499.737161814483</v>
      </c>
      <c r="E37" s="7">
        <v>0</v>
      </c>
      <c r="F37" s="17">
        <f t="shared" si="0"/>
        <v>-99499.737161814483</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-24887.507161589572</v>
      </c>
      <c r="E39" s="7">
        <v>0</v>
      </c>
      <c r="F39" s="17">
        <f t="shared" si="1"/>
        <v>-24887.507161589572</v>
      </c>
      <c r="K39" s="10"/>
      <c r="L39" s="7"/>
      <c r="M39" s="7"/>
      <c r="N39" s="7"/>
      <c r="O39" s="7"/>
      <c r="P39" s="7"/>
      <c r="Q39" s="7"/>
      <c r="R39" s="7"/>
      <c r="S39" s="7"/>
      <c r="T39" s="7"/>
      <c r="U39" s="17"/>
    </row>
    <row r="40" spans="1:21">
      <c r="A40" t="s">
        <v>34</v>
      </c>
      <c r="B40" s="10">
        <v>0</v>
      </c>
      <c r="C40" s="7">
        <v>0</v>
      </c>
      <c r="D40" s="7">
        <v>683.29685047599446</v>
      </c>
      <c r="E40" s="7">
        <v>0</v>
      </c>
      <c r="F40" s="17">
        <f t="shared" si="1"/>
        <v>683.29685047599446</v>
      </c>
      <c r="K40" s="10"/>
      <c r="L40" s="7"/>
      <c r="M40" s="7"/>
      <c r="N40" s="7"/>
      <c r="O40" s="7"/>
      <c r="P40" s="7"/>
      <c r="Q40" s="7"/>
      <c r="R40" s="7"/>
      <c r="S40" s="7"/>
      <c r="T40" s="7"/>
      <c r="U40" s="17"/>
    </row>
    <row r="41" spans="1:21">
      <c r="A41" t="s">
        <v>35</v>
      </c>
      <c r="B41" s="10">
        <v>0</v>
      </c>
      <c r="C41" s="7">
        <v>0</v>
      </c>
      <c r="D41" s="7">
        <v>2061564.0478333454</v>
      </c>
      <c r="E41" s="7">
        <v>0</v>
      </c>
      <c r="F41" s="17">
        <f t="shared" si="1"/>
        <v>2061564.0478333454</v>
      </c>
      <c r="K41" s="10"/>
      <c r="L41" s="7"/>
      <c r="M41" s="7"/>
      <c r="N41" s="7"/>
      <c r="O41" s="7"/>
      <c r="P41" s="7"/>
      <c r="Q41" s="7"/>
      <c r="R41" s="7"/>
      <c r="S41" s="7"/>
      <c r="T41" s="7"/>
      <c r="U41" s="17"/>
    </row>
    <row r="42" spans="1:21">
      <c r="A42" t="s">
        <v>36</v>
      </c>
      <c r="B42" s="10">
        <v>0</v>
      </c>
      <c r="C42" s="7">
        <v>0</v>
      </c>
      <c r="D42" s="7">
        <v>51313.612923957902</v>
      </c>
      <c r="E42" s="7">
        <v>0</v>
      </c>
      <c r="F42" s="17">
        <f t="shared" si="1"/>
        <v>51313.612923957902</v>
      </c>
      <c r="K42" s="10">
        <v>0</v>
      </c>
      <c r="L42" s="7">
        <v>0</v>
      </c>
      <c r="M42" s="7"/>
      <c r="N42" s="7">
        <v>0</v>
      </c>
      <c r="O42" s="7">
        <v>0</v>
      </c>
      <c r="P42" s="7"/>
      <c r="Q42" s="7">
        <v>150000</v>
      </c>
      <c r="R42" s="7">
        <v>0</v>
      </c>
      <c r="S42" s="7"/>
      <c r="T42" s="7">
        <v>0</v>
      </c>
      <c r="U42" s="17">
        <v>0</v>
      </c>
    </row>
    <row r="43" spans="1:21">
      <c r="A43" t="s">
        <v>37</v>
      </c>
      <c r="B43" s="10">
        <v>0</v>
      </c>
      <c r="C43" s="7">
        <v>0</v>
      </c>
      <c r="D43" s="7">
        <v>10403.917319795133</v>
      </c>
      <c r="E43" s="7">
        <v>0</v>
      </c>
      <c r="F43" s="17">
        <f t="shared" si="1"/>
        <v>10403.917319795133</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-109823.00997938763</v>
      </c>
      <c r="E47" s="7">
        <v>0</v>
      </c>
      <c r="F47" s="17">
        <f t="shared" si="1"/>
        <v>-109823.00997938763</v>
      </c>
      <c r="K47" s="10"/>
      <c r="L47" s="7"/>
      <c r="M47" s="7"/>
      <c r="N47" s="7"/>
      <c r="O47" s="7"/>
      <c r="P47" s="7"/>
      <c r="Q47" s="7"/>
      <c r="R47" s="7"/>
      <c r="S47" s="7"/>
      <c r="T47" s="7"/>
      <c r="U47" s="17"/>
    </row>
    <row r="48" spans="1:21">
      <c r="A48" t="s">
        <v>42</v>
      </c>
      <c r="B48" s="10">
        <v>0</v>
      </c>
      <c r="C48" s="7">
        <v>0</v>
      </c>
      <c r="D48" s="7">
        <v>8827.0003222677806</v>
      </c>
      <c r="E48" s="7">
        <v>0</v>
      </c>
      <c r="F48" s="17">
        <f t="shared" si="1"/>
        <v>8827.0003222677806</v>
      </c>
      <c r="K48" s="10"/>
      <c r="L48" s="7"/>
      <c r="M48" s="7"/>
      <c r="N48" s="7"/>
      <c r="O48" s="7"/>
      <c r="P48" s="7"/>
      <c r="Q48" s="7"/>
      <c r="R48" s="7"/>
      <c r="S48" s="7"/>
      <c r="T48" s="7"/>
      <c r="U48" s="17"/>
    </row>
    <row r="49" spans="1:21">
      <c r="A49" t="s">
        <v>43</v>
      </c>
      <c r="B49" s="10">
        <v>5736.4117968756527</v>
      </c>
      <c r="C49" s="7">
        <v>0</v>
      </c>
      <c r="D49" s="7">
        <v>1654734.1924737417</v>
      </c>
      <c r="E49" s="7">
        <v>0</v>
      </c>
      <c r="F49" s="17">
        <f t="shared" si="1"/>
        <v>1660470.6042706175</v>
      </c>
      <c r="K49" s="10">
        <v>0</v>
      </c>
      <c r="L49" s="7">
        <v>0</v>
      </c>
      <c r="M49" s="7"/>
      <c r="N49" s="7">
        <v>0</v>
      </c>
      <c r="O49" s="7">
        <v>0</v>
      </c>
      <c r="P49" s="7"/>
      <c r="Q49" s="7">
        <v>2500000</v>
      </c>
      <c r="R49" s="7">
        <v>0</v>
      </c>
      <c r="S49" s="7"/>
      <c r="T49" s="7">
        <v>0</v>
      </c>
      <c r="U49" s="17">
        <v>0</v>
      </c>
    </row>
    <row r="50" spans="1:21">
      <c r="A50" t="s">
        <v>44</v>
      </c>
      <c r="B50" s="10">
        <v>0</v>
      </c>
      <c r="C50" s="7">
        <v>0</v>
      </c>
      <c r="D50" s="7">
        <v>177281.05533391651</v>
      </c>
      <c r="E50" s="7">
        <v>0</v>
      </c>
      <c r="F50" s="17">
        <f t="shared" si="1"/>
        <v>177281.05533391651</v>
      </c>
      <c r="K50" s="10"/>
      <c r="L50" s="7"/>
      <c r="M50" s="7"/>
      <c r="N50" s="7"/>
      <c r="O50" s="7"/>
      <c r="P50" s="7"/>
      <c r="Q50" s="7"/>
      <c r="R50" s="7"/>
      <c r="S50" s="7"/>
      <c r="T50" s="7"/>
      <c r="U50" s="17"/>
    </row>
    <row r="51" spans="1:21">
      <c r="A51" t="s">
        <v>45</v>
      </c>
      <c r="B51" s="10">
        <v>0</v>
      </c>
      <c r="C51" s="7">
        <v>0</v>
      </c>
      <c r="D51" s="7">
        <v>59730.876454155172</v>
      </c>
      <c r="E51" s="7">
        <v>0</v>
      </c>
      <c r="F51" s="17">
        <f t="shared" si="1"/>
        <v>59730.876454155172</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60097.34889084418</v>
      </c>
      <c r="E57" s="7">
        <v>0</v>
      </c>
      <c r="F57" s="17">
        <f t="shared" si="1"/>
        <v>60097.34889084418</v>
      </c>
      <c r="K57" s="10"/>
      <c r="L57" s="7"/>
      <c r="M57" s="7"/>
      <c r="N57" s="7"/>
      <c r="O57" s="7"/>
      <c r="P57" s="7"/>
      <c r="Q57" s="7"/>
      <c r="R57" s="7"/>
      <c r="S57" s="7"/>
      <c r="T57" s="7"/>
      <c r="U57" s="17"/>
    </row>
    <row r="58" spans="1:21">
      <c r="A58" t="s">
        <v>52</v>
      </c>
      <c r="B58" s="10">
        <v>0</v>
      </c>
      <c r="C58" s="7">
        <v>0</v>
      </c>
      <c r="D58" s="7">
        <v>2191.2041695065977</v>
      </c>
      <c r="E58" s="7">
        <v>0</v>
      </c>
      <c r="F58" s="17">
        <f t="shared" si="1"/>
        <v>2191.2041695065977</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13218.446897726946</v>
      </c>
      <c r="C60" s="7">
        <f>SUM(C6:C58)</f>
        <v>0</v>
      </c>
      <c r="D60" s="7">
        <f>SUM(D6:D58)</f>
        <v>29117678.407671355</v>
      </c>
      <c r="E60" s="7">
        <f>SUM(E6:E58)</f>
        <v>0</v>
      </c>
      <c r="F60" s="17">
        <f>SUM(F6:F58)</f>
        <v>29130896.854569077</v>
      </c>
      <c r="K60" s="10">
        <f>SUM(K6:K58)</f>
        <v>0</v>
      </c>
      <c r="L60" s="7">
        <f>SUM(L6:L58)</f>
        <v>0</v>
      </c>
      <c r="M60" s="7"/>
      <c r="N60" s="7">
        <f>SUM(N6:N58)</f>
        <v>0</v>
      </c>
      <c r="O60" s="7">
        <f>SUM(O6:O58)</f>
        <v>0</v>
      </c>
      <c r="P60" s="7"/>
      <c r="Q60" s="7">
        <f>SUM(Q6:Q58)</f>
        <v>34703991</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Italic"Benicorp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23656558</v>
      </c>
      <c r="C6" s="7">
        <v>0</v>
      </c>
      <c r="D6" s="7">
        <v>22923</v>
      </c>
      <c r="E6" s="7">
        <v>0</v>
      </c>
      <c r="F6" s="17">
        <f t="shared" ref="F6:F37" si="0">SUM(B6:E6)</f>
        <v>23679481</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27435176.199999999</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2862932.2</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1555962</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0</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24466453</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27435176.199999999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4500000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24385347.199999999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24385347.199999999</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706011</v>
      </c>
      <c r="C49" s="7">
        <v>0</v>
      </c>
      <c r="D49" s="7">
        <v>-144.80000000000001</v>
      </c>
      <c r="E49" s="7">
        <v>0</v>
      </c>
      <c r="F49" s="17">
        <f t="shared" si="1"/>
        <v>705866.2</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24362569</v>
      </c>
      <c r="C60" s="7">
        <f>SUM(C6:C58)</f>
        <v>0</v>
      </c>
      <c r="D60" s="7">
        <f>SUM(D6:D58)</f>
        <v>22778.2</v>
      </c>
      <c r="E60" s="7">
        <f>SUM(E6:E58)</f>
        <v>0</v>
      </c>
      <c r="F60" s="17">
        <f>SUM(F6:F58)</f>
        <v>24385347.199999999</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Italic"Booker T. Washington Insurance Company, Inc.&amp;R&amp;"Geneva,Bold"UNAUDITED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8091.7435867940076</v>
      </c>
      <c r="E6" s="7">
        <v>0</v>
      </c>
      <c r="F6" s="17">
        <f t="shared" ref="F6:F37" si="0">SUM(B6:E6)</f>
        <v>8091.7435867940076</v>
      </c>
      <c r="K6" s="10"/>
      <c r="L6" s="7"/>
      <c r="M6" s="7"/>
      <c r="N6" s="7"/>
      <c r="O6" s="7"/>
      <c r="P6" s="7"/>
      <c r="Q6" s="7"/>
      <c r="R6" s="7"/>
      <c r="S6" s="7"/>
      <c r="T6" s="7"/>
      <c r="U6" s="17"/>
    </row>
    <row r="7" spans="1:21">
      <c r="A7" t="s">
        <v>1</v>
      </c>
      <c r="B7" s="10">
        <v>0</v>
      </c>
      <c r="C7" s="7">
        <v>0</v>
      </c>
      <c r="D7" s="7">
        <v>-3088.2429899583476</v>
      </c>
      <c r="E7" s="7">
        <v>0</v>
      </c>
      <c r="F7" s="17">
        <f t="shared" si="0"/>
        <v>-3088.2429899583476</v>
      </c>
      <c r="H7" s="22"/>
      <c r="I7" s="24"/>
      <c r="K7" s="10">
        <v>0</v>
      </c>
      <c r="L7" s="7">
        <v>0</v>
      </c>
      <c r="M7" s="7"/>
      <c r="N7" s="7">
        <v>0</v>
      </c>
      <c r="O7" s="7">
        <v>0</v>
      </c>
      <c r="P7" s="7"/>
      <c r="Q7" s="7">
        <v>25000</v>
      </c>
      <c r="R7" s="7">
        <v>20000</v>
      </c>
      <c r="S7" s="7"/>
      <c r="T7" s="7">
        <v>0</v>
      </c>
      <c r="U7" s="17">
        <v>0</v>
      </c>
    </row>
    <row r="8" spans="1:21">
      <c r="A8" t="s">
        <v>2</v>
      </c>
      <c r="B8" s="10">
        <v>0</v>
      </c>
      <c r="C8" s="7">
        <v>0</v>
      </c>
      <c r="D8" s="7">
        <v>65648.156170487637</v>
      </c>
      <c r="E8" s="7">
        <v>0</v>
      </c>
      <c r="F8" s="17">
        <f t="shared" si="0"/>
        <v>65648.156170487637</v>
      </c>
      <c r="H8" s="4" t="s">
        <v>64</v>
      </c>
      <c r="I8" s="13"/>
      <c r="K8" s="10">
        <v>0</v>
      </c>
      <c r="L8" s="7">
        <v>0</v>
      </c>
      <c r="M8" s="7"/>
      <c r="N8" s="7">
        <v>0</v>
      </c>
      <c r="O8" s="7">
        <v>0</v>
      </c>
      <c r="P8" s="7"/>
      <c r="Q8" s="7">
        <v>0</v>
      </c>
      <c r="R8" s="7">
        <v>0</v>
      </c>
      <c r="S8" s="7"/>
      <c r="T8" s="7">
        <v>0</v>
      </c>
      <c r="U8" s="17">
        <v>0</v>
      </c>
    </row>
    <row r="9" spans="1:21">
      <c r="A9" t="s">
        <v>3</v>
      </c>
      <c r="B9" s="10">
        <v>0</v>
      </c>
      <c r="C9" s="7">
        <v>0</v>
      </c>
      <c r="D9" s="7">
        <v>22854.427389470511</v>
      </c>
      <c r="E9" s="7">
        <v>0</v>
      </c>
      <c r="F9" s="17">
        <f t="shared" si="0"/>
        <v>22854.427389470511</v>
      </c>
      <c r="H9" s="4"/>
      <c r="I9" s="13"/>
      <c r="K9" s="10">
        <v>0</v>
      </c>
      <c r="L9" s="7">
        <v>0</v>
      </c>
      <c r="M9" s="7"/>
      <c r="N9" s="7">
        <v>0</v>
      </c>
      <c r="O9" s="7">
        <v>0</v>
      </c>
      <c r="P9" s="7"/>
      <c r="Q9" s="7">
        <v>822261</v>
      </c>
      <c r="R9" s="7">
        <v>0</v>
      </c>
      <c r="S9" s="7"/>
      <c r="T9" s="7">
        <v>0</v>
      </c>
      <c r="U9" s="17">
        <v>0</v>
      </c>
    </row>
    <row r="10" spans="1:21">
      <c r="A10" t="s">
        <v>4</v>
      </c>
      <c r="B10" s="10">
        <v>0</v>
      </c>
      <c r="C10" s="7">
        <v>0</v>
      </c>
      <c r="D10" s="7">
        <v>640884.08941532485</v>
      </c>
      <c r="E10" s="7">
        <v>0</v>
      </c>
      <c r="F10" s="17">
        <f t="shared" si="0"/>
        <v>640884.08941532485</v>
      </c>
      <c r="H10" s="4" t="s">
        <v>65</v>
      </c>
      <c r="I10" s="14">
        <v>60742961.978204116</v>
      </c>
      <c r="K10" s="10">
        <v>0</v>
      </c>
      <c r="L10" s="7">
        <v>0</v>
      </c>
      <c r="M10" s="7"/>
      <c r="N10" s="7">
        <v>0</v>
      </c>
      <c r="O10" s="7">
        <v>0</v>
      </c>
      <c r="P10" s="7"/>
      <c r="Q10" s="7">
        <v>4000000</v>
      </c>
      <c r="R10" s="7">
        <v>3125000</v>
      </c>
      <c r="S10" s="7"/>
      <c r="T10" s="7">
        <v>0</v>
      </c>
      <c r="U10" s="17">
        <v>0</v>
      </c>
    </row>
    <row r="11" spans="1:21">
      <c r="A11" t="s">
        <v>5</v>
      </c>
      <c r="B11" s="10">
        <v>0</v>
      </c>
      <c r="C11" s="7">
        <v>0</v>
      </c>
      <c r="D11" s="7">
        <v>7734.5017326372908</v>
      </c>
      <c r="E11" s="7">
        <v>0</v>
      </c>
      <c r="F11" s="17">
        <f t="shared" si="0"/>
        <v>7734.5017326372908</v>
      </c>
      <c r="H11" s="4"/>
      <c r="I11" s="14"/>
      <c r="K11" s="10">
        <v>0</v>
      </c>
      <c r="L11" s="7">
        <v>0</v>
      </c>
      <c r="M11" s="7"/>
      <c r="N11" s="7">
        <v>0</v>
      </c>
      <c r="O11" s="7">
        <v>0</v>
      </c>
      <c r="P11" s="7"/>
      <c r="Q11" s="7">
        <v>768000</v>
      </c>
      <c r="R11" s="7">
        <v>777442</v>
      </c>
      <c r="S11" s="7"/>
      <c r="T11" s="7">
        <v>0</v>
      </c>
      <c r="U11" s="17">
        <v>0</v>
      </c>
    </row>
    <row r="12" spans="1:21">
      <c r="A12" t="s">
        <v>6</v>
      </c>
      <c r="B12" s="10">
        <v>0</v>
      </c>
      <c r="C12" s="7">
        <v>0</v>
      </c>
      <c r="D12" s="7">
        <v>-8902.5878223193431</v>
      </c>
      <c r="E12" s="7">
        <v>0</v>
      </c>
      <c r="F12" s="17">
        <f t="shared" si="0"/>
        <v>-8902.5878223193431</v>
      </c>
      <c r="H12" s="4" t="s">
        <v>66</v>
      </c>
      <c r="I12" s="14"/>
      <c r="K12" s="10"/>
      <c r="L12" s="7"/>
      <c r="M12" s="7"/>
      <c r="N12" s="7"/>
      <c r="O12" s="7"/>
      <c r="P12" s="7"/>
      <c r="Q12" s="7"/>
      <c r="R12" s="7"/>
      <c r="S12" s="7"/>
      <c r="T12" s="7"/>
      <c r="U12" s="17"/>
    </row>
    <row r="13" spans="1:21">
      <c r="A13" t="s">
        <v>7</v>
      </c>
      <c r="B13" s="10">
        <v>0</v>
      </c>
      <c r="C13" s="7">
        <v>0</v>
      </c>
      <c r="D13" s="7">
        <v>-77216.577574094408</v>
      </c>
      <c r="E13" s="7">
        <v>0</v>
      </c>
      <c r="F13" s="17">
        <f t="shared" si="0"/>
        <v>-77216.577574094408</v>
      </c>
      <c r="H13" s="4" t="s">
        <v>67</v>
      </c>
      <c r="I13" s="14">
        <v>41580577.440000005</v>
      </c>
      <c r="K13" s="10">
        <v>0</v>
      </c>
      <c r="L13" s="7">
        <v>0</v>
      </c>
      <c r="M13" s="7"/>
      <c r="N13" s="7">
        <v>0</v>
      </c>
      <c r="O13" s="7">
        <v>0</v>
      </c>
      <c r="P13" s="7"/>
      <c r="Q13" s="7">
        <v>375000</v>
      </c>
      <c r="R13" s="7">
        <v>0</v>
      </c>
      <c r="S13" s="7"/>
      <c r="T13" s="7">
        <v>0</v>
      </c>
      <c r="U13" s="17">
        <v>0</v>
      </c>
    </row>
    <row r="14" spans="1:21">
      <c r="A14" t="s">
        <v>8</v>
      </c>
      <c r="B14" s="10">
        <v>0</v>
      </c>
      <c r="C14" s="7">
        <v>0</v>
      </c>
      <c r="D14" s="7">
        <v>-8620.9124787905748</v>
      </c>
      <c r="E14" s="7">
        <v>0</v>
      </c>
      <c r="F14" s="17">
        <f t="shared" si="0"/>
        <v>-8620.9124787905748</v>
      </c>
      <c r="H14" s="4" t="s">
        <v>68</v>
      </c>
      <c r="I14" s="14">
        <v>3742009.03</v>
      </c>
      <c r="K14" s="10"/>
      <c r="L14" s="7"/>
      <c r="M14" s="7"/>
      <c r="N14" s="7"/>
      <c r="O14" s="7"/>
      <c r="P14" s="7"/>
      <c r="Q14" s="7"/>
      <c r="R14" s="7"/>
      <c r="S14" s="7"/>
      <c r="T14" s="7"/>
      <c r="U14" s="17"/>
    </row>
    <row r="15" spans="1:21">
      <c r="A15" t="s">
        <v>9</v>
      </c>
      <c r="B15" s="10">
        <v>0</v>
      </c>
      <c r="C15" s="7">
        <v>0</v>
      </c>
      <c r="D15" s="7">
        <v>270583.9067992121</v>
      </c>
      <c r="E15" s="7">
        <v>0</v>
      </c>
      <c r="F15" s="17">
        <f t="shared" si="0"/>
        <v>270583.9067992121</v>
      </c>
      <c r="H15" s="4" t="s">
        <v>69</v>
      </c>
      <c r="I15" s="14">
        <v>2499486.0900000008</v>
      </c>
      <c r="K15" s="10"/>
      <c r="L15" s="7"/>
      <c r="M15" s="7"/>
      <c r="N15" s="7"/>
      <c r="O15" s="7"/>
      <c r="P15" s="7"/>
      <c r="Q15" s="7"/>
      <c r="R15" s="7"/>
      <c r="S15" s="7"/>
      <c r="T15" s="7"/>
      <c r="U15" s="17"/>
    </row>
    <row r="16" spans="1:21">
      <c r="A16" t="s">
        <v>10</v>
      </c>
      <c r="B16" s="10">
        <v>0</v>
      </c>
      <c r="C16" s="7">
        <v>0</v>
      </c>
      <c r="D16" s="7">
        <v>-159457.82395084947</v>
      </c>
      <c r="E16" s="7">
        <v>0</v>
      </c>
      <c r="F16" s="17">
        <f t="shared" si="0"/>
        <v>-159457.82395084947</v>
      </c>
      <c r="H16" s="4" t="s">
        <v>70</v>
      </c>
      <c r="I16" s="14">
        <v>0</v>
      </c>
      <c r="K16" s="10"/>
      <c r="L16" s="7"/>
      <c r="M16" s="7"/>
      <c r="N16" s="7"/>
      <c r="O16" s="7"/>
      <c r="P16" s="7"/>
      <c r="Q16" s="7"/>
      <c r="R16" s="7"/>
      <c r="S16" s="7"/>
      <c r="T16" s="7"/>
      <c r="U16" s="17"/>
    </row>
    <row r="17" spans="1:21">
      <c r="A17" t="s">
        <v>11</v>
      </c>
      <c r="B17" s="10">
        <v>0</v>
      </c>
      <c r="C17" s="7">
        <v>0</v>
      </c>
      <c r="D17" s="7">
        <v>-88846.939090108717</v>
      </c>
      <c r="E17" s="7">
        <v>0</v>
      </c>
      <c r="F17" s="17">
        <f t="shared" si="0"/>
        <v>-88846.939090108717</v>
      </c>
      <c r="H17" s="4"/>
      <c r="I17" s="14"/>
      <c r="K17" s="10"/>
      <c r="L17" s="7"/>
      <c r="M17" s="7"/>
      <c r="N17" s="7"/>
      <c r="O17" s="7"/>
      <c r="P17" s="7"/>
      <c r="Q17" s="7"/>
      <c r="R17" s="7"/>
      <c r="S17" s="7"/>
      <c r="T17" s="7"/>
      <c r="U17" s="17"/>
    </row>
    <row r="18" spans="1:21">
      <c r="A18" t="s">
        <v>12</v>
      </c>
      <c r="B18" s="10">
        <v>0</v>
      </c>
      <c r="C18" s="7">
        <v>0</v>
      </c>
      <c r="D18" s="7">
        <v>-16904.18223022054</v>
      </c>
      <c r="E18" s="7">
        <v>0</v>
      </c>
      <c r="F18" s="17">
        <f t="shared" si="0"/>
        <v>-16904.18223022054</v>
      </c>
      <c r="H18" s="4" t="s">
        <v>71</v>
      </c>
      <c r="I18" s="14"/>
      <c r="K18" s="10"/>
      <c r="L18" s="7"/>
      <c r="M18" s="7"/>
      <c r="N18" s="7"/>
      <c r="O18" s="7"/>
      <c r="P18" s="7"/>
      <c r="Q18" s="7"/>
      <c r="R18" s="7"/>
      <c r="S18" s="7"/>
      <c r="T18" s="7"/>
      <c r="U18" s="17"/>
    </row>
    <row r="19" spans="1:21">
      <c r="A19" t="s">
        <v>13</v>
      </c>
      <c r="B19" s="10">
        <v>0</v>
      </c>
      <c r="C19" s="7">
        <v>0</v>
      </c>
      <c r="D19" s="7">
        <v>-189819.60968292225</v>
      </c>
      <c r="E19" s="7">
        <v>0</v>
      </c>
      <c r="F19" s="17">
        <f t="shared" si="0"/>
        <v>-189819.60968292225</v>
      </c>
      <c r="H19" s="4" t="s">
        <v>72</v>
      </c>
      <c r="I19" s="14">
        <v>19253402.569149308</v>
      </c>
      <c r="K19" s="10">
        <v>500000</v>
      </c>
      <c r="L19" s="7">
        <v>600000</v>
      </c>
      <c r="M19" s="7"/>
      <c r="N19" s="7">
        <v>100000</v>
      </c>
      <c r="O19" s="7">
        <v>50000</v>
      </c>
      <c r="P19" s="7"/>
      <c r="Q19" s="7">
        <v>4000000</v>
      </c>
      <c r="R19" s="7">
        <v>4350000</v>
      </c>
      <c r="S19" s="7"/>
      <c r="T19" s="7">
        <v>0</v>
      </c>
      <c r="U19" s="17">
        <v>0</v>
      </c>
    </row>
    <row r="20" spans="1:21">
      <c r="A20" t="s">
        <v>14</v>
      </c>
      <c r="B20" s="10">
        <v>0</v>
      </c>
      <c r="C20" s="7">
        <v>0</v>
      </c>
      <c r="D20" s="7">
        <v>-71858.631797796581</v>
      </c>
      <c r="E20" s="7">
        <v>0</v>
      </c>
      <c r="F20" s="17">
        <f t="shared" si="0"/>
        <v>-71858.631797796581</v>
      </c>
      <c r="H20" s="4" t="s">
        <v>73</v>
      </c>
      <c r="I20" s="14">
        <v>41580577.440000005</v>
      </c>
      <c r="K20" s="10">
        <v>0</v>
      </c>
      <c r="L20" s="7">
        <v>0</v>
      </c>
      <c r="M20" s="7"/>
      <c r="N20" s="7">
        <v>0</v>
      </c>
      <c r="O20" s="7">
        <v>0</v>
      </c>
      <c r="P20" s="7"/>
      <c r="Q20" s="7">
        <v>1899405</v>
      </c>
      <c r="R20" s="7">
        <v>0</v>
      </c>
      <c r="S20" s="7"/>
      <c r="T20" s="7">
        <v>0</v>
      </c>
      <c r="U20" s="17">
        <v>0</v>
      </c>
    </row>
    <row r="21" spans="1:21">
      <c r="A21" t="s">
        <v>15</v>
      </c>
      <c r="B21" s="10">
        <v>0</v>
      </c>
      <c r="C21" s="7">
        <v>0</v>
      </c>
      <c r="D21" s="7">
        <v>-33678.793858095538</v>
      </c>
      <c r="E21" s="7">
        <v>0</v>
      </c>
      <c r="F21" s="17">
        <f t="shared" si="0"/>
        <v>-33678.793858095538</v>
      </c>
      <c r="H21" s="4" t="s">
        <v>74</v>
      </c>
      <c r="I21" s="14"/>
      <c r="K21" s="10"/>
      <c r="L21" s="7"/>
      <c r="M21" s="7"/>
      <c r="N21" s="7"/>
      <c r="O21" s="7"/>
      <c r="P21" s="7"/>
      <c r="Q21" s="7"/>
      <c r="R21" s="7"/>
      <c r="S21" s="7"/>
      <c r="T21" s="7"/>
      <c r="U21" s="17"/>
    </row>
    <row r="22" spans="1:21">
      <c r="A22" t="s">
        <v>16</v>
      </c>
      <c r="B22" s="10">
        <v>0</v>
      </c>
      <c r="C22" s="7">
        <v>0</v>
      </c>
      <c r="D22" s="7">
        <v>311041.53834261</v>
      </c>
      <c r="E22" s="7">
        <v>0</v>
      </c>
      <c r="F22" s="17">
        <f t="shared" si="0"/>
        <v>311041.53834261</v>
      </c>
      <c r="H22" s="4" t="s">
        <v>75</v>
      </c>
      <c r="I22" s="14">
        <v>0</v>
      </c>
      <c r="K22" s="10"/>
      <c r="L22" s="7"/>
      <c r="M22" s="7"/>
      <c r="N22" s="7"/>
      <c r="O22" s="7"/>
      <c r="P22" s="7"/>
      <c r="Q22" s="7"/>
      <c r="R22" s="7"/>
      <c r="S22" s="7"/>
      <c r="T22" s="7"/>
      <c r="U22" s="17"/>
    </row>
    <row r="23" spans="1:21">
      <c r="A23" t="s">
        <v>17</v>
      </c>
      <c r="B23" s="10">
        <v>0</v>
      </c>
      <c r="C23" s="7">
        <v>0</v>
      </c>
      <c r="D23" s="7">
        <v>20805.455353174591</v>
      </c>
      <c r="E23" s="7">
        <v>0</v>
      </c>
      <c r="F23" s="17">
        <f t="shared" si="0"/>
        <v>20805.455353174591</v>
      </c>
      <c r="H23" s="4" t="s">
        <v>76</v>
      </c>
      <c r="I23" s="14"/>
      <c r="K23" s="10"/>
      <c r="L23" s="7"/>
      <c r="M23" s="7"/>
      <c r="N23" s="7"/>
      <c r="O23" s="7"/>
      <c r="P23" s="7"/>
      <c r="Q23" s="7"/>
      <c r="R23" s="7"/>
      <c r="S23" s="7"/>
      <c r="T23" s="7"/>
      <c r="U23" s="17"/>
    </row>
    <row r="24" spans="1:21">
      <c r="A24" t="s">
        <v>18</v>
      </c>
      <c r="B24" s="10">
        <v>0</v>
      </c>
      <c r="C24" s="7">
        <v>0</v>
      </c>
      <c r="D24" s="7">
        <v>-59845.887077273685</v>
      </c>
      <c r="E24" s="7">
        <v>0</v>
      </c>
      <c r="F24" s="17">
        <f t="shared" si="0"/>
        <v>-59845.887077273685</v>
      </c>
      <c r="H24" s="4" t="s">
        <v>77</v>
      </c>
      <c r="I24" s="14">
        <v>47647517.561496556</v>
      </c>
      <c r="K24" s="10">
        <v>8479</v>
      </c>
      <c r="L24" s="7">
        <v>0</v>
      </c>
      <c r="M24" s="7"/>
      <c r="N24" s="7">
        <v>0</v>
      </c>
      <c r="O24" s="7">
        <v>0</v>
      </c>
      <c r="P24" s="7"/>
      <c r="Q24" s="7">
        <v>893521</v>
      </c>
      <c r="R24" s="7">
        <v>0</v>
      </c>
      <c r="S24" s="7"/>
      <c r="T24" s="7">
        <v>0</v>
      </c>
      <c r="U24" s="17">
        <v>0</v>
      </c>
    </row>
    <row r="25" spans="1:21">
      <c r="A25" t="s">
        <v>19</v>
      </c>
      <c r="B25" s="10">
        <v>0</v>
      </c>
      <c r="C25" s="7">
        <v>0</v>
      </c>
      <c r="D25" s="7">
        <v>-6190.85</v>
      </c>
      <c r="E25" s="7">
        <v>0</v>
      </c>
      <c r="F25" s="17">
        <f t="shared" si="0"/>
        <v>-6190.85</v>
      </c>
      <c r="H25" s="4"/>
      <c r="I25" s="14"/>
      <c r="K25" s="10"/>
      <c r="L25" s="7"/>
      <c r="M25" s="7"/>
      <c r="N25" s="7"/>
      <c r="O25" s="7"/>
      <c r="P25" s="7"/>
      <c r="Q25" s="7"/>
      <c r="R25" s="7"/>
      <c r="S25" s="7"/>
      <c r="T25" s="7"/>
      <c r="U25" s="17"/>
    </row>
    <row r="26" spans="1:21">
      <c r="A26" t="s">
        <v>20</v>
      </c>
      <c r="B26" s="10">
        <v>0</v>
      </c>
      <c r="C26" s="7">
        <v>0</v>
      </c>
      <c r="D26" s="7">
        <v>-546.72126186893729</v>
      </c>
      <c r="E26" s="7">
        <v>0</v>
      </c>
      <c r="F26" s="17">
        <f t="shared" si="0"/>
        <v>-546.72126186893729</v>
      </c>
      <c r="H26" s="4" t="s">
        <v>78</v>
      </c>
      <c r="I26" s="14">
        <f>SUM(I10:I16)-SUM(I19:I24)</f>
        <v>83536.967558264732</v>
      </c>
      <c r="K26" s="10"/>
      <c r="L26" s="7"/>
      <c r="M26" s="7"/>
      <c r="N26" s="7"/>
      <c r="O26" s="7"/>
      <c r="P26" s="7"/>
      <c r="Q26" s="7"/>
      <c r="R26" s="7"/>
      <c r="S26" s="7"/>
      <c r="T26" s="7"/>
      <c r="U26" s="17"/>
    </row>
    <row r="27" spans="1:21">
      <c r="A27" t="s">
        <v>21</v>
      </c>
      <c r="B27" s="10">
        <v>0</v>
      </c>
      <c r="C27" s="7">
        <v>0</v>
      </c>
      <c r="D27" s="7">
        <v>8459.5162677367916</v>
      </c>
      <c r="E27" s="7">
        <v>0</v>
      </c>
      <c r="F27" s="17">
        <f t="shared" si="0"/>
        <v>8459.5162677367916</v>
      </c>
      <c r="H27" s="4" t="s">
        <v>79</v>
      </c>
      <c r="I27" s="14">
        <f>+F60</f>
        <v>83536.967558226796</v>
      </c>
      <c r="K27" s="10"/>
      <c r="L27" s="7"/>
      <c r="M27" s="7"/>
      <c r="N27" s="7"/>
      <c r="O27" s="7"/>
      <c r="P27" s="7"/>
      <c r="Q27" s="7"/>
      <c r="R27" s="7"/>
      <c r="S27" s="7"/>
      <c r="T27" s="7"/>
      <c r="U27" s="17"/>
    </row>
    <row r="28" spans="1:21">
      <c r="A28" t="s">
        <v>22</v>
      </c>
      <c r="B28" s="10">
        <v>10961</v>
      </c>
      <c r="C28" s="7">
        <v>0</v>
      </c>
      <c r="D28" s="7">
        <v>-263476.1440499266</v>
      </c>
      <c r="E28" s="7">
        <v>0</v>
      </c>
      <c r="F28" s="17">
        <f t="shared" si="0"/>
        <v>-252515.1440499266</v>
      </c>
      <c r="H28" s="23"/>
      <c r="I28" s="25"/>
      <c r="K28" s="10"/>
      <c r="L28" s="7"/>
      <c r="M28" s="7"/>
      <c r="N28" s="7"/>
      <c r="O28" s="7"/>
      <c r="P28" s="7"/>
      <c r="Q28" s="7"/>
      <c r="R28" s="7"/>
      <c r="S28" s="7"/>
      <c r="T28" s="7"/>
      <c r="U28" s="17"/>
    </row>
    <row r="29" spans="1:21">
      <c r="A29" t="s">
        <v>23</v>
      </c>
      <c r="B29" s="10">
        <v>0</v>
      </c>
      <c r="C29" s="7">
        <v>0</v>
      </c>
      <c r="D29" s="7">
        <v>-27279.211249867731</v>
      </c>
      <c r="E29" s="7">
        <v>0</v>
      </c>
      <c r="F29" s="17">
        <f t="shared" si="0"/>
        <v>-27279.211249867731</v>
      </c>
      <c r="K29" s="10">
        <v>0</v>
      </c>
      <c r="L29" s="7">
        <v>0</v>
      </c>
      <c r="M29" s="7"/>
      <c r="N29" s="7">
        <v>0</v>
      </c>
      <c r="O29" s="7">
        <v>0</v>
      </c>
      <c r="P29" s="7"/>
      <c r="Q29" s="7">
        <v>300000</v>
      </c>
      <c r="R29" s="7">
        <v>0</v>
      </c>
      <c r="S29" s="7"/>
      <c r="T29" s="7">
        <v>0</v>
      </c>
      <c r="U29" s="17">
        <v>0</v>
      </c>
    </row>
    <row r="30" spans="1:21">
      <c r="A30" t="s">
        <v>24</v>
      </c>
      <c r="B30" s="10">
        <v>0</v>
      </c>
      <c r="C30" s="7">
        <v>0</v>
      </c>
      <c r="D30" s="7">
        <v>42488.975377295632</v>
      </c>
      <c r="E30" s="7">
        <v>0</v>
      </c>
      <c r="F30" s="17">
        <f t="shared" si="0"/>
        <v>42488.975377295632</v>
      </c>
      <c r="K30" s="10"/>
      <c r="L30" s="7"/>
      <c r="M30" s="7"/>
      <c r="N30" s="7"/>
      <c r="O30" s="7"/>
      <c r="P30" s="7"/>
      <c r="Q30" s="7"/>
      <c r="R30" s="7"/>
      <c r="S30" s="7"/>
      <c r="T30" s="7"/>
      <c r="U30" s="17"/>
    </row>
    <row r="31" spans="1:21">
      <c r="A31" t="s">
        <v>25</v>
      </c>
      <c r="B31" s="10">
        <v>0</v>
      </c>
      <c r="C31" s="7">
        <v>0</v>
      </c>
      <c r="D31" s="7">
        <v>37689.161067149602</v>
      </c>
      <c r="E31" s="7">
        <v>0</v>
      </c>
      <c r="F31" s="17">
        <f t="shared" si="0"/>
        <v>37689.161067149602</v>
      </c>
      <c r="K31" s="10"/>
      <c r="L31" s="7"/>
      <c r="M31" s="7"/>
      <c r="N31" s="7"/>
      <c r="O31" s="7"/>
      <c r="P31" s="7"/>
      <c r="Q31" s="7"/>
      <c r="R31" s="7"/>
      <c r="S31" s="7"/>
      <c r="T31" s="7"/>
      <c r="U31" s="17"/>
    </row>
    <row r="32" spans="1:21">
      <c r="A32" t="s">
        <v>26</v>
      </c>
      <c r="B32" s="10">
        <v>0</v>
      </c>
      <c r="C32" s="7">
        <v>0</v>
      </c>
      <c r="D32" s="7">
        <v>-9791.8400997357821</v>
      </c>
      <c r="E32" s="7">
        <v>0</v>
      </c>
      <c r="F32" s="17">
        <f t="shared" si="0"/>
        <v>-9791.8400997357821</v>
      </c>
      <c r="K32" s="10">
        <v>0</v>
      </c>
      <c r="L32" s="7">
        <v>0</v>
      </c>
      <c r="M32" s="7"/>
      <c r="N32" s="7">
        <v>0</v>
      </c>
      <c r="O32" s="7">
        <v>0</v>
      </c>
      <c r="P32" s="7"/>
      <c r="Q32" s="7">
        <v>120000</v>
      </c>
      <c r="R32" s="7">
        <v>0</v>
      </c>
      <c r="S32" s="7"/>
      <c r="T32" s="7">
        <v>0</v>
      </c>
      <c r="U32" s="17">
        <v>0</v>
      </c>
    </row>
    <row r="33" spans="1:21">
      <c r="A33" t="s">
        <v>27</v>
      </c>
      <c r="B33" s="10">
        <v>0</v>
      </c>
      <c r="C33" s="7">
        <v>0</v>
      </c>
      <c r="D33" s="7">
        <v>-15423.221361934047</v>
      </c>
      <c r="E33" s="7">
        <v>0</v>
      </c>
      <c r="F33" s="17">
        <f t="shared" si="0"/>
        <v>-15423.221361934047</v>
      </c>
      <c r="K33" s="10"/>
      <c r="L33" s="7"/>
      <c r="M33" s="7"/>
      <c r="N33" s="7"/>
      <c r="O33" s="7"/>
      <c r="P33" s="7"/>
      <c r="Q33" s="7"/>
      <c r="R33" s="7"/>
      <c r="S33" s="7"/>
      <c r="T33" s="7"/>
      <c r="U33" s="17"/>
    </row>
    <row r="34" spans="1:21">
      <c r="A34" t="s">
        <v>28</v>
      </c>
      <c r="B34" s="10">
        <v>0</v>
      </c>
      <c r="C34" s="7">
        <v>0</v>
      </c>
      <c r="D34" s="7">
        <v>18475.481755530229</v>
      </c>
      <c r="E34" s="7">
        <v>0</v>
      </c>
      <c r="F34" s="17">
        <f t="shared" si="0"/>
        <v>18475.481755530229</v>
      </c>
      <c r="K34" s="10">
        <v>0</v>
      </c>
      <c r="L34" s="7">
        <v>0</v>
      </c>
      <c r="M34" s="7"/>
      <c r="N34" s="7">
        <v>0</v>
      </c>
      <c r="O34" s="7">
        <v>0</v>
      </c>
      <c r="P34" s="7"/>
      <c r="Q34" s="7">
        <v>759000</v>
      </c>
      <c r="R34" s="7">
        <v>0</v>
      </c>
      <c r="S34" s="7"/>
      <c r="T34" s="7">
        <v>0</v>
      </c>
      <c r="U34" s="17">
        <v>0</v>
      </c>
    </row>
    <row r="35" spans="1:21">
      <c r="A35" t="s">
        <v>29</v>
      </c>
      <c r="B35" s="10">
        <v>0</v>
      </c>
      <c r="C35" s="7">
        <v>0</v>
      </c>
      <c r="D35" s="7">
        <v>-5546.2661349205009</v>
      </c>
      <c r="E35" s="7">
        <v>0</v>
      </c>
      <c r="F35" s="17">
        <f t="shared" si="0"/>
        <v>-5546.2661349205009</v>
      </c>
      <c r="K35" s="10"/>
      <c r="L35" s="7"/>
      <c r="M35" s="7"/>
      <c r="N35" s="7"/>
      <c r="O35" s="7"/>
      <c r="P35" s="7"/>
      <c r="Q35" s="7"/>
      <c r="R35" s="7"/>
      <c r="S35" s="7"/>
      <c r="T35" s="7"/>
      <c r="U35" s="17"/>
    </row>
    <row r="36" spans="1:21">
      <c r="A36" t="s">
        <v>30</v>
      </c>
      <c r="B36" s="10">
        <v>0</v>
      </c>
      <c r="C36" s="7">
        <v>0</v>
      </c>
      <c r="D36" s="7">
        <v>-49928.067356883606</v>
      </c>
      <c r="E36" s="7">
        <v>0</v>
      </c>
      <c r="F36" s="17">
        <f t="shared" si="0"/>
        <v>-49928.067356883606</v>
      </c>
      <c r="K36" s="10">
        <v>0</v>
      </c>
      <c r="L36" s="7">
        <v>0</v>
      </c>
      <c r="M36" s="7"/>
      <c r="N36" s="7">
        <v>0</v>
      </c>
      <c r="O36" s="7">
        <v>0</v>
      </c>
      <c r="P36" s="7"/>
      <c r="Q36" s="7">
        <v>75000</v>
      </c>
      <c r="R36" s="7">
        <v>0</v>
      </c>
      <c r="S36" s="7"/>
      <c r="T36" s="7">
        <v>0</v>
      </c>
      <c r="U36" s="17">
        <v>0</v>
      </c>
    </row>
    <row r="37" spans="1:21">
      <c r="A37" t="s">
        <v>31</v>
      </c>
      <c r="B37" s="10">
        <v>0</v>
      </c>
      <c r="C37" s="7">
        <v>0</v>
      </c>
      <c r="D37" s="7">
        <v>-110124.32558149115</v>
      </c>
      <c r="E37" s="7">
        <v>0</v>
      </c>
      <c r="F37" s="17">
        <f t="shared" si="0"/>
        <v>-110124.32558149115</v>
      </c>
      <c r="K37" s="10"/>
      <c r="L37" s="7"/>
      <c r="M37" s="7"/>
      <c r="N37" s="7"/>
      <c r="O37" s="7"/>
      <c r="P37" s="7"/>
      <c r="Q37" s="7"/>
      <c r="R37" s="7"/>
      <c r="S37" s="7"/>
      <c r="T37" s="7"/>
      <c r="U37" s="17"/>
    </row>
    <row r="38" spans="1:21">
      <c r="A38" t="s">
        <v>32</v>
      </c>
      <c r="B38" s="10">
        <v>0</v>
      </c>
      <c r="C38" s="7">
        <v>0</v>
      </c>
      <c r="D38" s="7">
        <v>-143439.65</v>
      </c>
      <c r="E38" s="7">
        <v>0</v>
      </c>
      <c r="F38" s="17">
        <f t="shared" ref="F38:F58" si="1">SUM(B38:E38)</f>
        <v>-143439.65</v>
      </c>
      <c r="K38" s="10"/>
      <c r="L38" s="7"/>
      <c r="M38" s="7"/>
      <c r="N38" s="7"/>
      <c r="O38" s="7"/>
      <c r="P38" s="7"/>
      <c r="Q38" s="7"/>
      <c r="R38" s="7"/>
      <c r="S38" s="7"/>
      <c r="T38" s="7"/>
      <c r="U38" s="17"/>
    </row>
    <row r="39" spans="1:21">
      <c r="A39" t="s">
        <v>33</v>
      </c>
      <c r="B39" s="10">
        <v>0</v>
      </c>
      <c r="C39" s="7">
        <v>0</v>
      </c>
      <c r="D39" s="7">
        <v>49969.537198674632</v>
      </c>
      <c r="E39" s="7">
        <v>0</v>
      </c>
      <c r="F39" s="17">
        <f t="shared" si="1"/>
        <v>49969.537198674632</v>
      </c>
      <c r="K39" s="10">
        <v>190000</v>
      </c>
      <c r="L39" s="7">
        <v>0</v>
      </c>
      <c r="M39" s="7"/>
      <c r="N39" s="7">
        <v>0</v>
      </c>
      <c r="O39" s="7">
        <v>0</v>
      </c>
      <c r="P39" s="7"/>
      <c r="Q39" s="7">
        <v>310000</v>
      </c>
      <c r="R39" s="7">
        <v>0</v>
      </c>
      <c r="S39" s="7"/>
      <c r="T39" s="7">
        <v>0</v>
      </c>
      <c r="U39" s="17">
        <v>0</v>
      </c>
    </row>
    <row r="40" spans="1:21">
      <c r="A40" t="s">
        <v>34</v>
      </c>
      <c r="B40" s="10">
        <v>0</v>
      </c>
      <c r="C40" s="7">
        <v>0</v>
      </c>
      <c r="D40" s="7">
        <v>1032.3056351291207</v>
      </c>
      <c r="E40" s="7">
        <v>0</v>
      </c>
      <c r="F40" s="17">
        <f t="shared" si="1"/>
        <v>1032.3056351291207</v>
      </c>
      <c r="K40" s="10"/>
      <c r="L40" s="7"/>
      <c r="M40" s="7"/>
      <c r="N40" s="7"/>
      <c r="O40" s="7"/>
      <c r="P40" s="7"/>
      <c r="Q40" s="7"/>
      <c r="R40" s="7"/>
      <c r="S40" s="7"/>
      <c r="T40" s="7"/>
      <c r="U40" s="17"/>
    </row>
    <row r="41" spans="1:21">
      <c r="A41" t="s">
        <v>35</v>
      </c>
      <c r="B41" s="10">
        <v>0</v>
      </c>
      <c r="C41" s="7">
        <v>0</v>
      </c>
      <c r="D41" s="7">
        <v>-14757.835634223418</v>
      </c>
      <c r="E41" s="7">
        <v>0</v>
      </c>
      <c r="F41" s="17">
        <f t="shared" si="1"/>
        <v>-14757.835634223418</v>
      </c>
      <c r="K41" s="10"/>
      <c r="L41" s="7"/>
      <c r="M41" s="7"/>
      <c r="N41" s="7"/>
      <c r="O41" s="7"/>
      <c r="P41" s="7"/>
      <c r="Q41" s="7"/>
      <c r="R41" s="7"/>
      <c r="S41" s="7"/>
      <c r="T41" s="7"/>
      <c r="U41" s="17"/>
    </row>
    <row r="42" spans="1:21">
      <c r="A42" t="s">
        <v>36</v>
      </c>
      <c r="B42" s="10">
        <v>0</v>
      </c>
      <c r="C42" s="7">
        <v>0</v>
      </c>
      <c r="D42" s="7">
        <v>27100.461791263428</v>
      </c>
      <c r="E42" s="7">
        <v>0</v>
      </c>
      <c r="F42" s="17">
        <f t="shared" si="1"/>
        <v>27100.461791263428</v>
      </c>
      <c r="K42" s="10">
        <v>40000</v>
      </c>
      <c r="L42" s="7">
        <v>42800</v>
      </c>
      <c r="M42" s="7"/>
      <c r="N42" s="7">
        <v>0</v>
      </c>
      <c r="O42" s="7">
        <v>0</v>
      </c>
      <c r="P42" s="7"/>
      <c r="Q42" s="7">
        <v>1960000</v>
      </c>
      <c r="R42" s="7">
        <v>2032200</v>
      </c>
      <c r="S42" s="7"/>
      <c r="T42" s="7">
        <v>0</v>
      </c>
      <c r="U42" s="17">
        <v>0</v>
      </c>
    </row>
    <row r="43" spans="1:21">
      <c r="A43" t="s">
        <v>37</v>
      </c>
      <c r="B43" s="10">
        <v>0</v>
      </c>
      <c r="C43" s="7">
        <v>0</v>
      </c>
      <c r="D43" s="7">
        <v>25326.464353971707</v>
      </c>
      <c r="E43" s="7">
        <v>0</v>
      </c>
      <c r="F43" s="17">
        <f t="shared" si="1"/>
        <v>25326.464353971707</v>
      </c>
      <c r="K43" s="10"/>
      <c r="L43" s="7"/>
      <c r="M43" s="7"/>
      <c r="N43" s="7"/>
      <c r="O43" s="7"/>
      <c r="P43" s="7"/>
      <c r="Q43" s="7"/>
      <c r="R43" s="7"/>
      <c r="S43" s="7"/>
      <c r="T43" s="7"/>
      <c r="U43" s="17"/>
    </row>
    <row r="44" spans="1:21">
      <c r="A44" t="s">
        <v>38</v>
      </c>
      <c r="B44" s="10">
        <v>0</v>
      </c>
      <c r="C44" s="7">
        <v>0</v>
      </c>
      <c r="D44" s="7">
        <v>11980.963894995395</v>
      </c>
      <c r="E44" s="7">
        <v>0</v>
      </c>
      <c r="F44" s="17">
        <f t="shared" si="1"/>
        <v>11980.963894995395</v>
      </c>
      <c r="K44" s="10"/>
      <c r="L44" s="7"/>
      <c r="M44" s="7"/>
      <c r="N44" s="7"/>
      <c r="O44" s="7"/>
      <c r="P44" s="7"/>
      <c r="Q44" s="7"/>
      <c r="R44" s="7"/>
      <c r="S44" s="7"/>
      <c r="T44" s="7"/>
      <c r="U44" s="17"/>
    </row>
    <row r="45" spans="1:21">
      <c r="A45" t="s">
        <v>39</v>
      </c>
      <c r="B45" s="10">
        <v>0</v>
      </c>
      <c r="C45" s="7">
        <v>0</v>
      </c>
      <c r="D45" s="7">
        <v>-7496.924545560978</v>
      </c>
      <c r="E45" s="7">
        <v>0</v>
      </c>
      <c r="F45" s="17">
        <f t="shared" si="1"/>
        <v>-7496.924545560978</v>
      </c>
      <c r="K45" s="10">
        <v>0</v>
      </c>
      <c r="L45" s="7">
        <v>0</v>
      </c>
      <c r="M45" s="7"/>
      <c r="N45" s="7">
        <v>0</v>
      </c>
      <c r="O45" s="7">
        <v>0</v>
      </c>
      <c r="P45" s="7"/>
      <c r="Q45" s="7">
        <v>108788</v>
      </c>
      <c r="R45" s="7">
        <v>0</v>
      </c>
      <c r="S45" s="7"/>
      <c r="T45" s="7">
        <v>0</v>
      </c>
      <c r="U45" s="17">
        <v>0</v>
      </c>
    </row>
    <row r="46" spans="1:21">
      <c r="A46" t="s">
        <v>40</v>
      </c>
      <c r="B46" s="10">
        <v>0</v>
      </c>
      <c r="C46" s="7">
        <v>0</v>
      </c>
      <c r="D46" s="7">
        <v>-3857.7200000000003</v>
      </c>
      <c r="E46" s="7">
        <v>0</v>
      </c>
      <c r="F46" s="17">
        <f t="shared" si="1"/>
        <v>-3857.7200000000003</v>
      </c>
      <c r="K46" s="10"/>
      <c r="L46" s="7"/>
      <c r="M46" s="7"/>
      <c r="N46" s="7"/>
      <c r="O46" s="7"/>
      <c r="P46" s="7"/>
      <c r="Q46" s="7"/>
      <c r="R46" s="7"/>
      <c r="S46" s="7"/>
      <c r="T46" s="7"/>
      <c r="U46" s="17"/>
    </row>
    <row r="47" spans="1:21">
      <c r="A47" t="s">
        <v>41</v>
      </c>
      <c r="B47" s="10">
        <v>4801</v>
      </c>
      <c r="C47" s="7">
        <v>0</v>
      </c>
      <c r="D47" s="7">
        <v>71701.257665942889</v>
      </c>
      <c r="E47" s="7">
        <v>0</v>
      </c>
      <c r="F47" s="17">
        <f t="shared" si="1"/>
        <v>76502.257665942889</v>
      </c>
      <c r="K47" s="10"/>
      <c r="L47" s="7"/>
      <c r="M47" s="7"/>
      <c r="N47" s="7"/>
      <c r="O47" s="7"/>
      <c r="P47" s="7"/>
      <c r="Q47" s="7"/>
      <c r="R47" s="7"/>
      <c r="S47" s="7"/>
      <c r="T47" s="7"/>
      <c r="U47" s="17"/>
    </row>
    <row r="48" spans="1:21">
      <c r="A48" t="s">
        <v>42</v>
      </c>
      <c r="B48" s="10">
        <v>0</v>
      </c>
      <c r="C48" s="7">
        <v>0</v>
      </c>
      <c r="D48" s="7">
        <v>-20437.861621000404</v>
      </c>
      <c r="E48" s="7">
        <v>0</v>
      </c>
      <c r="F48" s="17">
        <f t="shared" si="1"/>
        <v>-20437.861621000404</v>
      </c>
      <c r="K48" s="10"/>
      <c r="L48" s="7"/>
      <c r="M48" s="7"/>
      <c r="N48" s="7"/>
      <c r="O48" s="7"/>
      <c r="P48" s="7"/>
      <c r="Q48" s="7"/>
      <c r="R48" s="7"/>
      <c r="S48" s="7"/>
      <c r="T48" s="7"/>
      <c r="U48" s="17"/>
    </row>
    <row r="49" spans="1:21">
      <c r="A49" t="s">
        <v>43</v>
      </c>
      <c r="B49" s="10">
        <v>0</v>
      </c>
      <c r="C49" s="7">
        <v>0</v>
      </c>
      <c r="D49" s="7">
        <v>80609.659886838985</v>
      </c>
      <c r="E49" s="7">
        <v>0</v>
      </c>
      <c r="F49" s="17">
        <f t="shared" si="1"/>
        <v>80609.659886838985</v>
      </c>
      <c r="K49" s="10"/>
      <c r="L49" s="7"/>
      <c r="M49" s="7"/>
      <c r="N49" s="7"/>
      <c r="O49" s="7"/>
      <c r="P49" s="7"/>
      <c r="Q49" s="7"/>
      <c r="R49" s="7"/>
      <c r="S49" s="7"/>
      <c r="T49" s="7"/>
      <c r="U49" s="17"/>
    </row>
    <row r="50" spans="1:21">
      <c r="A50" t="s">
        <v>44</v>
      </c>
      <c r="B50" s="10">
        <v>0</v>
      </c>
      <c r="C50" s="7">
        <v>0</v>
      </c>
      <c r="D50" s="7">
        <v>98848.354292694014</v>
      </c>
      <c r="E50" s="7">
        <v>0</v>
      </c>
      <c r="F50" s="17">
        <f t="shared" si="1"/>
        <v>98848.354292694014</v>
      </c>
      <c r="K50" s="10">
        <v>50085</v>
      </c>
      <c r="L50" s="7">
        <v>42523</v>
      </c>
      <c r="M50" s="7"/>
      <c r="N50" s="7">
        <v>0</v>
      </c>
      <c r="O50" s="7">
        <v>0</v>
      </c>
      <c r="P50" s="7"/>
      <c r="Q50" s="7">
        <v>2548542</v>
      </c>
      <c r="R50" s="7">
        <v>2160728</v>
      </c>
      <c r="S50" s="7"/>
      <c r="T50" s="7">
        <v>0</v>
      </c>
      <c r="U50" s="17">
        <v>0</v>
      </c>
    </row>
    <row r="51" spans="1:21">
      <c r="A51" t="s">
        <v>45</v>
      </c>
      <c r="B51" s="10">
        <v>0</v>
      </c>
      <c r="C51" s="7">
        <v>0</v>
      </c>
      <c r="D51" s="7">
        <v>-27278.61741854858</v>
      </c>
      <c r="E51" s="7">
        <v>0</v>
      </c>
      <c r="F51" s="17">
        <f t="shared" si="1"/>
        <v>-27278.61741854858</v>
      </c>
      <c r="K51" s="10"/>
      <c r="L51" s="7"/>
      <c r="M51" s="7"/>
      <c r="N51" s="7"/>
      <c r="O51" s="7"/>
      <c r="P51" s="7"/>
      <c r="Q51" s="7"/>
      <c r="R51" s="7"/>
      <c r="S51" s="7"/>
      <c r="T51" s="7"/>
      <c r="U51" s="17"/>
    </row>
    <row r="52" spans="1:21">
      <c r="A52" t="s">
        <v>46</v>
      </c>
      <c r="B52" s="10">
        <v>0</v>
      </c>
      <c r="C52" s="7">
        <v>0</v>
      </c>
      <c r="D52" s="7">
        <v>2494.1188273978623</v>
      </c>
      <c r="E52" s="7">
        <v>0</v>
      </c>
      <c r="F52" s="17">
        <f t="shared" si="1"/>
        <v>2494.1188273978623</v>
      </c>
      <c r="K52" s="10">
        <v>0</v>
      </c>
      <c r="L52" s="7">
        <v>0</v>
      </c>
      <c r="M52" s="7"/>
      <c r="N52" s="7">
        <v>0</v>
      </c>
      <c r="O52" s="7">
        <v>0</v>
      </c>
      <c r="P52" s="7"/>
      <c r="Q52" s="7">
        <v>150000</v>
      </c>
      <c r="R52" s="7">
        <v>0</v>
      </c>
      <c r="S52" s="7"/>
      <c r="T52" s="7">
        <v>0</v>
      </c>
      <c r="U52" s="17">
        <v>0</v>
      </c>
    </row>
    <row r="53" spans="1:21">
      <c r="A53" t="s">
        <v>47</v>
      </c>
      <c r="B53" s="10">
        <v>0</v>
      </c>
      <c r="C53" s="7">
        <v>0</v>
      </c>
      <c r="D53" s="7">
        <v>-104397.12116934685</v>
      </c>
      <c r="E53" s="7">
        <v>0</v>
      </c>
      <c r="F53" s="17">
        <f t="shared" si="1"/>
        <v>-104397.12116934685</v>
      </c>
      <c r="K53" s="10">
        <v>5000</v>
      </c>
      <c r="L53" s="7">
        <v>1948</v>
      </c>
      <c r="M53" s="7"/>
      <c r="N53" s="7">
        <v>0</v>
      </c>
      <c r="O53" s="7">
        <v>0</v>
      </c>
      <c r="P53" s="7"/>
      <c r="Q53" s="7">
        <v>320000</v>
      </c>
      <c r="R53" s="7">
        <v>0</v>
      </c>
      <c r="S53" s="7"/>
      <c r="T53" s="7">
        <v>0</v>
      </c>
      <c r="U53" s="17">
        <v>0</v>
      </c>
    </row>
    <row r="54" spans="1:21">
      <c r="A54" t="s">
        <v>48</v>
      </c>
      <c r="B54" s="10">
        <v>0</v>
      </c>
      <c r="C54" s="7">
        <v>0</v>
      </c>
      <c r="D54" s="7">
        <v>8138.622583549004</v>
      </c>
      <c r="E54" s="7">
        <v>0</v>
      </c>
      <c r="F54" s="17">
        <f t="shared" si="1"/>
        <v>8138.622583549004</v>
      </c>
      <c r="K54" s="10">
        <v>0</v>
      </c>
      <c r="L54" s="7">
        <v>0</v>
      </c>
      <c r="M54" s="7"/>
      <c r="N54" s="7">
        <v>0</v>
      </c>
      <c r="O54" s="7">
        <v>0</v>
      </c>
      <c r="P54" s="7"/>
      <c r="Q54" s="7">
        <v>200000</v>
      </c>
      <c r="R54" s="7">
        <v>190535</v>
      </c>
      <c r="S54" s="7"/>
      <c r="T54" s="7">
        <v>0</v>
      </c>
      <c r="U54" s="17">
        <v>0</v>
      </c>
    </row>
    <row r="55" spans="1:21">
      <c r="A55" t="s">
        <v>49</v>
      </c>
      <c r="B55" s="10">
        <v>0</v>
      </c>
      <c r="C55" s="7">
        <v>0</v>
      </c>
      <c r="D55" s="7">
        <v>-30197.301540809858</v>
      </c>
      <c r="E55" s="7">
        <v>0</v>
      </c>
      <c r="F55" s="17">
        <f t="shared" si="1"/>
        <v>-30197.301540809858</v>
      </c>
      <c r="K55" s="10">
        <v>0</v>
      </c>
      <c r="L55" s="7">
        <v>0</v>
      </c>
      <c r="M55" s="7"/>
      <c r="N55" s="7">
        <v>0</v>
      </c>
      <c r="O55" s="7">
        <v>0</v>
      </c>
      <c r="P55" s="7"/>
      <c r="Q55" s="7">
        <v>0</v>
      </c>
      <c r="R55" s="7">
        <v>671547</v>
      </c>
      <c r="S55" s="7"/>
      <c r="T55" s="7">
        <v>0</v>
      </c>
      <c r="U55" s="17">
        <v>0</v>
      </c>
    </row>
    <row r="56" spans="1:21">
      <c r="A56" t="s">
        <v>50</v>
      </c>
      <c r="B56" s="10">
        <v>0</v>
      </c>
      <c r="C56" s="7">
        <v>0</v>
      </c>
      <c r="D56" s="7">
        <v>-199484.8408866328</v>
      </c>
      <c r="E56" s="7">
        <v>0</v>
      </c>
      <c r="F56" s="17">
        <f t="shared" si="1"/>
        <v>-199484.8408866328</v>
      </c>
      <c r="K56" s="10"/>
      <c r="L56" s="7"/>
      <c r="M56" s="7"/>
      <c r="N56" s="7"/>
      <c r="O56" s="7"/>
      <c r="P56" s="7"/>
      <c r="Q56" s="7"/>
      <c r="R56" s="7"/>
      <c r="S56" s="7"/>
      <c r="T56" s="7"/>
      <c r="U56" s="17"/>
    </row>
    <row r="57" spans="1:21">
      <c r="A57" t="s">
        <v>51</v>
      </c>
      <c r="B57" s="10">
        <v>0</v>
      </c>
      <c r="C57" s="7">
        <v>0</v>
      </c>
      <c r="D57" s="7">
        <v>-19696.643364469623</v>
      </c>
      <c r="E57" s="7">
        <v>0</v>
      </c>
      <c r="F57" s="17">
        <f t="shared" si="1"/>
        <v>-19696.643364469623</v>
      </c>
      <c r="K57" s="10">
        <v>0</v>
      </c>
      <c r="L57" s="7">
        <v>0</v>
      </c>
      <c r="M57" s="7"/>
      <c r="N57" s="7">
        <v>0</v>
      </c>
      <c r="O57" s="7">
        <v>0</v>
      </c>
      <c r="P57" s="7"/>
      <c r="Q57" s="7">
        <v>30000</v>
      </c>
      <c r="R57" s="7">
        <v>34679</v>
      </c>
      <c r="S57" s="7"/>
      <c r="T57" s="7">
        <v>0</v>
      </c>
      <c r="U57" s="17">
        <v>0</v>
      </c>
    </row>
    <row r="58" spans="1:21">
      <c r="A58" t="s">
        <v>52</v>
      </c>
      <c r="B58" s="10">
        <v>1</v>
      </c>
      <c r="C58" s="7">
        <v>0</v>
      </c>
      <c r="D58" s="7">
        <v>13406.619999996796</v>
      </c>
      <c r="E58" s="7">
        <v>0</v>
      </c>
      <c r="F58" s="17">
        <f t="shared" si="1"/>
        <v>13407.619999996796</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15763</v>
      </c>
      <c r="C60" s="7">
        <f>SUM(C6:C58)</f>
        <v>0</v>
      </c>
      <c r="D60" s="7">
        <f>SUM(D6:D58)</f>
        <v>67773.967558226796</v>
      </c>
      <c r="E60" s="7">
        <f>SUM(E6:E58)</f>
        <v>0</v>
      </c>
      <c r="F60" s="17">
        <f>SUM(F6:F58)</f>
        <v>83536.967558226796</v>
      </c>
      <c r="K60" s="10">
        <f>SUM(K6:K58)</f>
        <v>793564</v>
      </c>
      <c r="L60" s="7">
        <f>SUM(L6:L58)</f>
        <v>687271</v>
      </c>
      <c r="M60" s="7"/>
      <c r="N60" s="7">
        <f>SUM(N6:N58)</f>
        <v>100000</v>
      </c>
      <c r="O60" s="7">
        <f>SUM(O6:O58)</f>
        <v>50000</v>
      </c>
      <c r="P60" s="7"/>
      <c r="Q60" s="7">
        <f>SUM(Q6:Q58)</f>
        <v>19664517</v>
      </c>
      <c r="R60" s="7">
        <f>SUM(R6:R58)</f>
        <v>13362131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Italic"Centennial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755.72130221368889</v>
      </c>
      <c r="C6" s="7">
        <v>348308.78312493826</v>
      </c>
      <c r="D6" s="7">
        <v>0</v>
      </c>
      <c r="E6" s="7">
        <v>0</v>
      </c>
      <c r="F6" s="17">
        <f t="shared" ref="F6:F37" si="0">SUM(B6:E6)</f>
        <v>349064.50442715193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329004.94666878384</v>
      </c>
      <c r="D8" s="7">
        <v>0</v>
      </c>
      <c r="E8" s="7">
        <v>0</v>
      </c>
      <c r="F8" s="17">
        <f t="shared" si="0"/>
        <v>329004.94666878384</v>
      </c>
      <c r="H8" s="4" t="s">
        <v>64</v>
      </c>
      <c r="I8" s="13"/>
      <c r="K8" s="10">
        <v>0</v>
      </c>
      <c r="L8" s="7">
        <v>0</v>
      </c>
      <c r="M8" s="7"/>
      <c r="N8" s="7">
        <v>146693</v>
      </c>
      <c r="O8" s="7">
        <v>0</v>
      </c>
      <c r="P8" s="7"/>
      <c r="Q8" s="7">
        <v>0</v>
      </c>
      <c r="R8" s="7">
        <v>0</v>
      </c>
      <c r="S8" s="7"/>
      <c r="T8" s="7">
        <v>0</v>
      </c>
      <c r="U8" s="17">
        <v>0</v>
      </c>
    </row>
    <row r="9" spans="1:21">
      <c r="A9" t="s">
        <v>3</v>
      </c>
      <c r="B9" s="10">
        <v>0</v>
      </c>
      <c r="C9" s="7">
        <v>18632.273245461183</v>
      </c>
      <c r="D9" s="7">
        <v>0</v>
      </c>
      <c r="E9" s="7">
        <v>0</v>
      </c>
      <c r="F9" s="17">
        <f t="shared" si="0"/>
        <v>18632.273245461183</v>
      </c>
      <c r="H9" s="4"/>
      <c r="I9" s="13"/>
      <c r="K9" s="10">
        <v>30189</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72284955.26000002</v>
      </c>
      <c r="K10" s="10"/>
      <c r="L10" s="7"/>
      <c r="M10" s="7"/>
      <c r="N10" s="7"/>
      <c r="O10" s="7"/>
      <c r="P10" s="7"/>
      <c r="Q10" s="7"/>
      <c r="R10" s="7"/>
      <c r="S10" s="7"/>
      <c r="T10" s="7"/>
      <c r="U10" s="17"/>
    </row>
    <row r="11" spans="1:21">
      <c r="A11" t="s">
        <v>5</v>
      </c>
      <c r="B11" s="10">
        <v>0</v>
      </c>
      <c r="C11" s="7">
        <v>160849.7390051719</v>
      </c>
      <c r="D11" s="7">
        <v>0</v>
      </c>
      <c r="E11" s="7">
        <v>0</v>
      </c>
      <c r="F11" s="17">
        <f t="shared" si="0"/>
        <v>160849.7390051719</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44348.439554944227</v>
      </c>
      <c r="D13" s="7">
        <v>0</v>
      </c>
      <c r="E13" s="7">
        <v>0</v>
      </c>
      <c r="F13" s="17">
        <f t="shared" si="0"/>
        <v>44348.439554944227</v>
      </c>
      <c r="H13" s="4" t="s">
        <v>67</v>
      </c>
      <c r="I13" s="14">
        <v>0</v>
      </c>
      <c r="K13" s="10">
        <v>0</v>
      </c>
      <c r="L13" s="7">
        <v>0</v>
      </c>
      <c r="M13" s="7"/>
      <c r="N13" s="7">
        <v>90000</v>
      </c>
      <c r="O13" s="7">
        <v>0</v>
      </c>
      <c r="P13" s="7"/>
      <c r="Q13" s="7">
        <v>0</v>
      </c>
      <c r="R13" s="7">
        <v>0</v>
      </c>
      <c r="S13" s="7"/>
      <c r="T13" s="7">
        <v>0</v>
      </c>
      <c r="U13" s="17">
        <v>0</v>
      </c>
    </row>
    <row r="14" spans="1:21">
      <c r="A14" t="s">
        <v>8</v>
      </c>
      <c r="B14" s="10">
        <v>0</v>
      </c>
      <c r="C14" s="7">
        <v>0</v>
      </c>
      <c r="D14" s="7">
        <v>0</v>
      </c>
      <c r="E14" s="7">
        <v>0</v>
      </c>
      <c r="F14" s="17">
        <f t="shared" si="0"/>
        <v>0</v>
      </c>
      <c r="H14" s="4" t="s">
        <v>68</v>
      </c>
      <c r="I14" s="14">
        <v>713474.99999999988</v>
      </c>
      <c r="K14" s="10"/>
      <c r="L14" s="7"/>
      <c r="M14" s="7"/>
      <c r="N14" s="7"/>
      <c r="O14" s="7"/>
      <c r="P14" s="7"/>
      <c r="Q14" s="7"/>
      <c r="R14" s="7"/>
      <c r="S14" s="7"/>
      <c r="T14" s="7"/>
      <c r="U14" s="17"/>
    </row>
    <row r="15" spans="1:21">
      <c r="A15" t="s">
        <v>9</v>
      </c>
      <c r="B15" s="10">
        <v>41969.684379426762</v>
      </c>
      <c r="C15" s="7">
        <v>6292942.2231238009</v>
      </c>
      <c r="D15" s="7">
        <v>0</v>
      </c>
      <c r="E15" s="7">
        <v>0</v>
      </c>
      <c r="F15" s="17">
        <f t="shared" si="0"/>
        <v>6334911.9075032277</v>
      </c>
      <c r="H15" s="4" t="s">
        <v>69</v>
      </c>
      <c r="I15" s="14">
        <v>708496.99999999977</v>
      </c>
      <c r="K15" s="10">
        <v>0</v>
      </c>
      <c r="L15" s="7">
        <v>0</v>
      </c>
      <c r="M15" s="7"/>
      <c r="N15" s="7">
        <v>7300000</v>
      </c>
      <c r="O15" s="7">
        <v>0</v>
      </c>
      <c r="P15" s="7"/>
      <c r="Q15" s="7">
        <v>0</v>
      </c>
      <c r="R15" s="7">
        <v>0</v>
      </c>
      <c r="S15" s="7"/>
      <c r="T15" s="7">
        <v>0</v>
      </c>
      <c r="U15" s="17">
        <v>0</v>
      </c>
    </row>
    <row r="16" spans="1:21">
      <c r="A16" t="s">
        <v>10</v>
      </c>
      <c r="B16" s="10">
        <v>129.57046745765933</v>
      </c>
      <c r="C16" s="7">
        <v>633000.78079071897</v>
      </c>
      <c r="D16" s="7">
        <v>0</v>
      </c>
      <c r="E16" s="7">
        <v>0</v>
      </c>
      <c r="F16" s="17">
        <f t="shared" si="0"/>
        <v>633130.35125817661</v>
      </c>
      <c r="H16" s="4" t="s">
        <v>70</v>
      </c>
      <c r="I16" s="14">
        <v>0</v>
      </c>
      <c r="K16" s="10">
        <v>2974</v>
      </c>
      <c r="L16" s="7">
        <v>0</v>
      </c>
      <c r="M16" s="7"/>
      <c r="N16" s="7">
        <v>757110</v>
      </c>
      <c r="O16" s="7">
        <v>5197.47</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4673.3047450343147</v>
      </c>
      <c r="D18" s="7">
        <v>0</v>
      </c>
      <c r="E18" s="7">
        <v>0</v>
      </c>
      <c r="F18" s="17">
        <f t="shared" si="0"/>
        <v>4673.3047450343147</v>
      </c>
      <c r="H18" s="4" t="s">
        <v>71</v>
      </c>
      <c r="I18" s="14"/>
      <c r="K18" s="10">
        <v>0</v>
      </c>
      <c r="L18" s="7">
        <v>0</v>
      </c>
      <c r="M18" s="7"/>
      <c r="N18" s="7">
        <v>8000</v>
      </c>
      <c r="O18" s="7">
        <v>0</v>
      </c>
      <c r="P18" s="7"/>
      <c r="Q18" s="7">
        <v>0</v>
      </c>
      <c r="R18" s="7">
        <v>0</v>
      </c>
      <c r="S18" s="7"/>
      <c r="T18" s="7">
        <v>0</v>
      </c>
      <c r="U18" s="17">
        <v>0</v>
      </c>
    </row>
    <row r="19" spans="1:21">
      <c r="A19" t="s">
        <v>13</v>
      </c>
      <c r="B19" s="10">
        <v>0</v>
      </c>
      <c r="C19" s="7">
        <v>0</v>
      </c>
      <c r="D19" s="7">
        <v>0</v>
      </c>
      <c r="E19" s="7">
        <v>0</v>
      </c>
      <c r="F19" s="17">
        <f t="shared" si="0"/>
        <v>0</v>
      </c>
      <c r="H19" s="4" t="s">
        <v>72</v>
      </c>
      <c r="I19" s="14">
        <v>43973889.679381259</v>
      </c>
      <c r="K19" s="10"/>
      <c r="L19" s="7"/>
      <c r="M19" s="7"/>
      <c r="N19" s="7"/>
      <c r="O19" s="7"/>
      <c r="P19" s="7"/>
      <c r="Q19" s="7"/>
      <c r="R19" s="7"/>
      <c r="S19" s="7"/>
      <c r="T19" s="7"/>
      <c r="U19" s="17"/>
    </row>
    <row r="20" spans="1:21">
      <c r="A20" t="s">
        <v>14</v>
      </c>
      <c r="B20" s="10">
        <v>0</v>
      </c>
      <c r="C20" s="7">
        <v>314959.29271634138</v>
      </c>
      <c r="D20" s="7">
        <v>0</v>
      </c>
      <c r="E20" s="7">
        <v>0</v>
      </c>
      <c r="F20" s="17">
        <f t="shared" si="0"/>
        <v>314959.29271634138</v>
      </c>
      <c r="H20" s="4" t="s">
        <v>73</v>
      </c>
      <c r="I20" s="14">
        <v>3744837.3099767314</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5169108.2706420003</v>
      </c>
      <c r="K22" s="10"/>
      <c r="L22" s="7"/>
      <c r="M22" s="7"/>
      <c r="N22" s="7"/>
      <c r="O22" s="7"/>
      <c r="P22" s="7"/>
      <c r="Q22" s="7"/>
      <c r="R22" s="7"/>
      <c r="S22" s="7"/>
      <c r="T22" s="7"/>
      <c r="U22" s="17"/>
    </row>
    <row r="23" spans="1:21">
      <c r="A23" t="s">
        <v>17</v>
      </c>
      <c r="B23" s="10">
        <v>232.1731425352545</v>
      </c>
      <c r="C23" s="7">
        <v>273680.55760527682</v>
      </c>
      <c r="D23" s="7">
        <v>0</v>
      </c>
      <c r="E23" s="7">
        <v>0</v>
      </c>
      <c r="F23" s="17">
        <f t="shared" si="0"/>
        <v>273912.73074781208</v>
      </c>
      <c r="H23" s="4" t="s">
        <v>76</v>
      </c>
      <c r="I23" s="14"/>
      <c r="K23" s="10">
        <v>0</v>
      </c>
      <c r="L23" s="7">
        <v>0</v>
      </c>
      <c r="M23" s="7"/>
      <c r="N23" s="7">
        <v>350000</v>
      </c>
      <c r="O23" s="7">
        <v>0</v>
      </c>
      <c r="P23" s="7"/>
      <c r="Q23" s="7">
        <v>0</v>
      </c>
      <c r="R23" s="7">
        <v>0</v>
      </c>
      <c r="S23" s="7"/>
      <c r="T23" s="7">
        <v>0</v>
      </c>
      <c r="U23" s="17">
        <v>0</v>
      </c>
    </row>
    <row r="24" spans="1:21">
      <c r="A24" t="s">
        <v>18</v>
      </c>
      <c r="B24" s="10">
        <v>0</v>
      </c>
      <c r="C24" s="7">
        <v>149730.07635246881</v>
      </c>
      <c r="D24" s="7">
        <v>0</v>
      </c>
      <c r="E24" s="7">
        <v>0</v>
      </c>
      <c r="F24" s="17">
        <f t="shared" si="0"/>
        <v>149730.07635246881</v>
      </c>
      <c r="H24" s="4" t="s">
        <v>77</v>
      </c>
      <c r="I24" s="14">
        <v>4496991.9999999991</v>
      </c>
      <c r="K24" s="10">
        <v>0</v>
      </c>
      <c r="L24" s="7">
        <v>0</v>
      </c>
      <c r="M24" s="7"/>
      <c r="N24" s="7">
        <v>245000</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240736.40847945469</v>
      </c>
      <c r="D26" s="7">
        <v>0</v>
      </c>
      <c r="E26" s="7">
        <v>0</v>
      </c>
      <c r="F26" s="17">
        <f t="shared" si="0"/>
        <v>240736.40847945469</v>
      </c>
      <c r="H26" s="4" t="s">
        <v>78</v>
      </c>
      <c r="I26" s="14">
        <f>SUM(I10:I16)-SUM(I19:I24)</f>
        <v>16322100.00000003</v>
      </c>
      <c r="K26" s="10">
        <v>0</v>
      </c>
      <c r="L26" s="7">
        <v>0</v>
      </c>
      <c r="M26" s="7"/>
      <c r="N26" s="7">
        <v>375000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16322100</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80117.593218426235</v>
      </c>
      <c r="D30" s="7">
        <v>0</v>
      </c>
      <c r="E30" s="7">
        <v>0</v>
      </c>
      <c r="F30" s="17">
        <f t="shared" si="0"/>
        <v>80117.593218426235</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20598.163451687673</v>
      </c>
      <c r="D34" s="7">
        <v>0</v>
      </c>
      <c r="E34" s="7">
        <v>0</v>
      </c>
      <c r="F34" s="17">
        <f t="shared" si="0"/>
        <v>20598.163451687673</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38501.276822023065</v>
      </c>
      <c r="D37" s="7">
        <v>0</v>
      </c>
      <c r="E37" s="7">
        <v>0</v>
      </c>
      <c r="F37" s="17">
        <f t="shared" si="0"/>
        <v>38501.276822023065</v>
      </c>
      <c r="K37" s="10">
        <v>0</v>
      </c>
      <c r="L37" s="7">
        <v>0</v>
      </c>
      <c r="M37" s="7"/>
      <c r="N37" s="7">
        <v>69889</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449.08547129092267</v>
      </c>
      <c r="C39" s="7">
        <v>1014082.2828878779</v>
      </c>
      <c r="D39" s="7">
        <v>0</v>
      </c>
      <c r="E39" s="7">
        <v>0</v>
      </c>
      <c r="F39" s="17">
        <f t="shared" si="1"/>
        <v>1014531.3683591689</v>
      </c>
      <c r="K39" s="10">
        <v>0</v>
      </c>
      <c r="L39" s="7">
        <v>0</v>
      </c>
      <c r="M39" s="7"/>
      <c r="N39" s="7">
        <v>1300000</v>
      </c>
      <c r="O39" s="7">
        <v>350000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2048.6759963300578</v>
      </c>
      <c r="C41" s="7">
        <v>2669065.7695448631</v>
      </c>
      <c r="D41" s="7">
        <v>0</v>
      </c>
      <c r="E41" s="7">
        <v>0</v>
      </c>
      <c r="F41" s="17">
        <f t="shared" si="1"/>
        <v>2671114.4455411932</v>
      </c>
      <c r="K41" s="10">
        <v>0</v>
      </c>
      <c r="L41" s="7">
        <v>0</v>
      </c>
      <c r="M41" s="7"/>
      <c r="N41" s="7">
        <v>3200000</v>
      </c>
      <c r="O41" s="7">
        <v>0</v>
      </c>
      <c r="P41" s="7"/>
      <c r="Q41" s="7">
        <v>0</v>
      </c>
      <c r="R41" s="7">
        <v>0</v>
      </c>
      <c r="S41" s="7"/>
      <c r="T41" s="7">
        <v>0</v>
      </c>
      <c r="U41" s="17">
        <v>0</v>
      </c>
    </row>
    <row r="42" spans="1:21">
      <c r="A42" t="s">
        <v>36</v>
      </c>
      <c r="B42" s="10">
        <v>0</v>
      </c>
      <c r="C42" s="7">
        <v>257590.406128384</v>
      </c>
      <c r="D42" s="7">
        <v>0</v>
      </c>
      <c r="E42" s="7">
        <v>0</v>
      </c>
      <c r="F42" s="17">
        <f t="shared" si="1"/>
        <v>257590.406128384</v>
      </c>
      <c r="K42" s="10">
        <v>0</v>
      </c>
      <c r="L42" s="7">
        <v>0</v>
      </c>
      <c r="M42" s="7"/>
      <c r="N42" s="7">
        <v>6200</v>
      </c>
      <c r="O42" s="7">
        <v>60000</v>
      </c>
      <c r="P42" s="7"/>
      <c r="Q42" s="7">
        <v>0</v>
      </c>
      <c r="R42" s="7">
        <v>0</v>
      </c>
      <c r="S42" s="7"/>
      <c r="T42" s="7">
        <v>0</v>
      </c>
      <c r="U42" s="17">
        <v>0</v>
      </c>
    </row>
    <row r="43" spans="1:21">
      <c r="A43" t="s">
        <v>37</v>
      </c>
      <c r="B43" s="10">
        <v>0</v>
      </c>
      <c r="C43" s="7">
        <v>5618.7421167162956</v>
      </c>
      <c r="D43" s="7">
        <v>0</v>
      </c>
      <c r="E43" s="7">
        <v>0</v>
      </c>
      <c r="F43" s="17">
        <f t="shared" si="1"/>
        <v>5618.7421167162956</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2238.0083740963182</v>
      </c>
      <c r="C47" s="7">
        <v>61272.304836266834</v>
      </c>
      <c r="D47" s="7">
        <v>0</v>
      </c>
      <c r="E47" s="7">
        <v>0</v>
      </c>
      <c r="F47" s="17">
        <f t="shared" si="1"/>
        <v>63510.313210363151</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122256.03125319636</v>
      </c>
      <c r="D49" s="7">
        <v>0</v>
      </c>
      <c r="E49" s="7">
        <v>0</v>
      </c>
      <c r="F49" s="17">
        <f t="shared" si="1"/>
        <v>122256.03125319636</v>
      </c>
      <c r="K49" s="10"/>
      <c r="L49" s="7"/>
      <c r="M49" s="7"/>
      <c r="N49" s="7"/>
      <c r="O49" s="7"/>
      <c r="P49" s="7"/>
      <c r="Q49" s="7"/>
      <c r="R49" s="7"/>
      <c r="S49" s="7"/>
      <c r="T49" s="7"/>
      <c r="U49" s="17"/>
    </row>
    <row r="50" spans="1:21">
      <c r="A50" t="s">
        <v>44</v>
      </c>
      <c r="B50" s="10">
        <v>0</v>
      </c>
      <c r="C50" s="7">
        <v>2700176.9815365891</v>
      </c>
      <c r="D50" s="7">
        <v>0</v>
      </c>
      <c r="E50" s="7">
        <v>0</v>
      </c>
      <c r="F50" s="17">
        <f t="shared" si="1"/>
        <v>2700176.9815365891</v>
      </c>
      <c r="K50" s="10">
        <v>306204</v>
      </c>
      <c r="L50" s="7">
        <v>49490.362081562751</v>
      </c>
      <c r="M50" s="7"/>
      <c r="N50" s="7">
        <v>2944373</v>
      </c>
      <c r="O50" s="7">
        <v>475885.63791843725</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707.66163861333769</v>
      </c>
      <c r="C53" s="7">
        <v>381862.59308657271</v>
      </c>
      <c r="D53" s="7">
        <v>0</v>
      </c>
      <c r="E53" s="7">
        <v>0</v>
      </c>
      <c r="F53" s="17">
        <f t="shared" si="1"/>
        <v>382570.25472518604</v>
      </c>
      <c r="K53" s="10">
        <v>1300</v>
      </c>
      <c r="L53" s="7">
        <v>0</v>
      </c>
      <c r="M53" s="7"/>
      <c r="N53" s="7">
        <v>456000</v>
      </c>
      <c r="O53" s="7">
        <v>0</v>
      </c>
      <c r="P53" s="7"/>
      <c r="Q53" s="7">
        <v>0</v>
      </c>
      <c r="R53" s="7">
        <v>0</v>
      </c>
      <c r="S53" s="7"/>
      <c r="T53" s="7">
        <v>0</v>
      </c>
      <c r="U53" s="17">
        <v>0</v>
      </c>
    </row>
    <row r="54" spans="1:21">
      <c r="A54" t="s">
        <v>48</v>
      </c>
      <c r="B54" s="10">
        <v>0</v>
      </c>
      <c r="C54" s="7">
        <v>4231.4925423980458</v>
      </c>
      <c r="D54" s="7">
        <v>0</v>
      </c>
      <c r="E54" s="7">
        <v>0</v>
      </c>
      <c r="F54" s="17">
        <f t="shared" si="1"/>
        <v>4231.4925423980458</v>
      </c>
      <c r="K54" s="10"/>
      <c r="L54" s="7"/>
      <c r="M54" s="7"/>
      <c r="N54" s="7"/>
      <c r="O54" s="7"/>
      <c r="P54" s="7"/>
      <c r="Q54" s="7"/>
      <c r="R54" s="7"/>
      <c r="S54" s="7"/>
      <c r="T54" s="7"/>
      <c r="U54" s="17"/>
    </row>
    <row r="55" spans="1:21">
      <c r="A55" t="s">
        <v>49</v>
      </c>
      <c r="B55" s="10">
        <v>91.548025748424777</v>
      </c>
      <c r="C55" s="7">
        <v>107237.40836489102</v>
      </c>
      <c r="D55" s="7">
        <v>0</v>
      </c>
      <c r="E55" s="7">
        <v>0</v>
      </c>
      <c r="F55" s="17">
        <f t="shared" si="1"/>
        <v>107328.95639063945</v>
      </c>
      <c r="K55" s="10">
        <v>0</v>
      </c>
      <c r="L55" s="7">
        <v>0</v>
      </c>
      <c r="M55" s="7"/>
      <c r="N55" s="7">
        <v>0</v>
      </c>
      <c r="O55" s="7">
        <v>147404</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48622.128797712423</v>
      </c>
      <c r="C60" s="7">
        <f>SUM(C6:C58)</f>
        <v>16273477.871202288</v>
      </c>
      <c r="D60" s="7">
        <f>SUM(D6:D58)</f>
        <v>0</v>
      </c>
      <c r="E60" s="7">
        <f>SUM(E6:E58)</f>
        <v>0</v>
      </c>
      <c r="F60" s="17">
        <f>SUM(F6:F58)</f>
        <v>16322100</v>
      </c>
      <c r="K60" s="10">
        <f>SUM(K6:K58)</f>
        <v>340667</v>
      </c>
      <c r="L60" s="7">
        <f>SUM(L6:L58)</f>
        <v>49490.362081562751</v>
      </c>
      <c r="M60" s="7"/>
      <c r="N60" s="7">
        <f>SUM(N6:N58)</f>
        <v>17248265</v>
      </c>
      <c r="O60" s="7">
        <f>SUM(O6:O58)</f>
        <v>1038487.1079184372</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Italic"Coastal States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116590114</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0</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116590114</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0</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0</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0</v>
      </c>
      <c r="E60" s="7">
        <f>SUM(E6:E58)</f>
        <v>0</v>
      </c>
      <c r="F60" s="17">
        <f>SUM(F6:F58)</f>
        <v>0</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Italic"Confederation Life Insurance &amp; Annuity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6.1954584320119466E-2</v>
      </c>
      <c r="C6" s="7">
        <v>5.3153326317988103</v>
      </c>
      <c r="D6" s="7">
        <v>0</v>
      </c>
      <c r="E6" s="7">
        <v>0</v>
      </c>
      <c r="F6" s="17">
        <f t="shared" ref="F6:F37" si="0">SUM(B6:E6)</f>
        <v>5.3772872161189298</v>
      </c>
      <c r="K6" s="10"/>
      <c r="L6" s="7"/>
      <c r="M6" s="7"/>
      <c r="N6" s="7"/>
      <c r="O6" s="7"/>
      <c r="P6" s="7"/>
      <c r="Q6" s="7"/>
      <c r="R6" s="7"/>
      <c r="S6" s="7"/>
      <c r="T6" s="7"/>
      <c r="U6" s="17"/>
    </row>
    <row r="7" spans="1:21">
      <c r="A7" t="s">
        <v>1</v>
      </c>
      <c r="B7" s="10">
        <v>2.0288973956406053E-4</v>
      </c>
      <c r="C7" s="7">
        <v>0.53556827324609912</v>
      </c>
      <c r="D7" s="7">
        <v>0</v>
      </c>
      <c r="E7" s="7">
        <v>0</v>
      </c>
      <c r="F7" s="17">
        <f t="shared" si="0"/>
        <v>0.53577116298566319</v>
      </c>
      <c r="H7" s="22"/>
      <c r="I7" s="24"/>
      <c r="K7" s="10">
        <v>200</v>
      </c>
      <c r="L7" s="7">
        <v>100</v>
      </c>
      <c r="M7" s="7"/>
      <c r="N7" s="7">
        <v>2400</v>
      </c>
      <c r="O7" s="7">
        <v>0</v>
      </c>
      <c r="P7" s="7"/>
      <c r="Q7" s="7">
        <v>0</v>
      </c>
      <c r="R7" s="7">
        <v>0</v>
      </c>
      <c r="S7" s="7"/>
      <c r="T7" s="7">
        <v>0</v>
      </c>
      <c r="U7" s="17">
        <v>25</v>
      </c>
    </row>
    <row r="8" spans="1:21">
      <c r="A8" t="s">
        <v>2</v>
      </c>
      <c r="B8" s="10">
        <v>2.1142699668018849E-2</v>
      </c>
      <c r="C8" s="7">
        <v>19.451994706119876</v>
      </c>
      <c r="D8" s="7">
        <v>-8.3463561170937298E-3</v>
      </c>
      <c r="E8" s="7">
        <v>0</v>
      </c>
      <c r="F8" s="17">
        <f t="shared" si="0"/>
        <v>19.464791049670801</v>
      </c>
      <c r="H8" s="4" t="s">
        <v>64</v>
      </c>
      <c r="I8" s="13"/>
      <c r="K8" s="10">
        <v>640101</v>
      </c>
      <c r="L8" s="7">
        <v>0</v>
      </c>
      <c r="M8" s="7"/>
      <c r="N8" s="7">
        <v>537167</v>
      </c>
      <c r="O8" s="7">
        <v>0</v>
      </c>
      <c r="P8" s="7"/>
      <c r="Q8" s="7">
        <v>0</v>
      </c>
      <c r="R8" s="7">
        <v>0</v>
      </c>
      <c r="S8" s="7"/>
      <c r="T8" s="7">
        <v>0</v>
      </c>
      <c r="U8" s="17">
        <v>0</v>
      </c>
    </row>
    <row r="9" spans="1:21">
      <c r="A9" t="s">
        <v>3</v>
      </c>
      <c r="B9" s="10">
        <v>5.4202716598226175E-3</v>
      </c>
      <c r="C9" s="7">
        <v>3.5594491770098102</v>
      </c>
      <c r="D9" s="7">
        <v>-9.998946479342824E-3</v>
      </c>
      <c r="E9" s="7">
        <v>6.9275083208485739</v>
      </c>
      <c r="F9" s="17">
        <f t="shared" si="0"/>
        <v>10.482378823038864</v>
      </c>
      <c r="H9" s="4"/>
      <c r="I9" s="13"/>
      <c r="K9" s="10">
        <v>208902</v>
      </c>
      <c r="L9" s="7">
        <v>0</v>
      </c>
      <c r="M9" s="7"/>
      <c r="N9" s="7">
        <v>0</v>
      </c>
      <c r="O9" s="7">
        <v>0</v>
      </c>
      <c r="P9" s="7"/>
      <c r="Q9" s="7">
        <v>0</v>
      </c>
      <c r="R9" s="7">
        <v>0</v>
      </c>
      <c r="S9" s="7"/>
      <c r="T9" s="7">
        <v>0</v>
      </c>
      <c r="U9" s="17">
        <v>0</v>
      </c>
    </row>
    <row r="10" spans="1:21">
      <c r="A10" t="s">
        <v>4</v>
      </c>
      <c r="B10" s="10">
        <v>0.34051266823234982</v>
      </c>
      <c r="C10" s="7">
        <v>83.474112597643398</v>
      </c>
      <c r="D10" s="7">
        <v>2.7346819250873463E-6</v>
      </c>
      <c r="E10" s="7">
        <v>0</v>
      </c>
      <c r="F10" s="17">
        <f t="shared" si="0"/>
        <v>83.814628000557676</v>
      </c>
      <c r="H10" s="4" t="s">
        <v>65</v>
      </c>
      <c r="I10" s="14">
        <v>3534278682.5268831</v>
      </c>
      <c r="K10" s="10">
        <v>0</v>
      </c>
      <c r="L10" s="7">
        <v>0</v>
      </c>
      <c r="M10" s="7"/>
      <c r="N10" s="7">
        <v>938000</v>
      </c>
      <c r="O10" s="7">
        <v>1045000</v>
      </c>
      <c r="P10" s="7"/>
      <c r="Q10" s="7">
        <v>0</v>
      </c>
      <c r="R10" s="7">
        <v>0</v>
      </c>
      <c r="S10" s="7"/>
      <c r="T10" s="7">
        <v>0</v>
      </c>
      <c r="U10" s="17">
        <v>0</v>
      </c>
    </row>
    <row r="11" spans="1:21">
      <c r="A11" t="s">
        <v>5</v>
      </c>
      <c r="B11" s="10">
        <v>16.41670007648645</v>
      </c>
      <c r="C11" s="7">
        <v>19.123373434471432</v>
      </c>
      <c r="D11" s="7">
        <v>9.3290046532078941E-3</v>
      </c>
      <c r="E11" s="7">
        <v>0</v>
      </c>
      <c r="F11" s="17">
        <f t="shared" si="0"/>
        <v>35.549402515611092</v>
      </c>
      <c r="H11" s="4"/>
      <c r="I11" s="14"/>
      <c r="K11" s="10">
        <v>7739</v>
      </c>
      <c r="L11" s="7">
        <v>0</v>
      </c>
      <c r="M11" s="7"/>
      <c r="N11" s="7">
        <v>15022</v>
      </c>
      <c r="O11" s="7">
        <v>0</v>
      </c>
      <c r="P11" s="7"/>
      <c r="Q11" s="7">
        <v>0</v>
      </c>
      <c r="R11" s="7">
        <v>0</v>
      </c>
      <c r="S11" s="7"/>
      <c r="T11" s="7">
        <v>0</v>
      </c>
      <c r="U11" s="17">
        <v>0</v>
      </c>
    </row>
    <row r="12" spans="1:21">
      <c r="A12" t="s">
        <v>6</v>
      </c>
      <c r="B12" s="10">
        <v>0.1647435033498823</v>
      </c>
      <c r="C12" s="7">
        <v>107.46848609298468</v>
      </c>
      <c r="D12" s="7">
        <v>-9.8657152628737997E-3</v>
      </c>
      <c r="E12" s="7">
        <v>117.51985146990046</v>
      </c>
      <c r="F12" s="17">
        <f t="shared" si="0"/>
        <v>225.14321535097213</v>
      </c>
      <c r="H12" s="4" t="s">
        <v>66</v>
      </c>
      <c r="I12" s="14"/>
      <c r="K12" s="10">
        <v>200000</v>
      </c>
      <c r="L12" s="7">
        <v>199924</v>
      </c>
      <c r="M12" s="7"/>
      <c r="N12" s="7">
        <v>1100000</v>
      </c>
      <c r="O12" s="7">
        <v>1099902</v>
      </c>
      <c r="P12" s="7"/>
      <c r="Q12" s="7">
        <v>0</v>
      </c>
      <c r="R12" s="7">
        <v>0</v>
      </c>
      <c r="S12" s="7"/>
      <c r="T12" s="7">
        <v>1350000</v>
      </c>
      <c r="U12" s="17">
        <v>1349994</v>
      </c>
    </row>
    <row r="13" spans="1:21">
      <c r="A13" t="s">
        <v>7</v>
      </c>
      <c r="B13" s="10">
        <v>3.8182680909812916E-2</v>
      </c>
      <c r="C13" s="7">
        <v>1.7150397283403436</v>
      </c>
      <c r="D13" s="7">
        <v>0</v>
      </c>
      <c r="E13" s="7">
        <v>0</v>
      </c>
      <c r="F13" s="17">
        <f t="shared" si="0"/>
        <v>1.7532224092501565</v>
      </c>
      <c r="H13" s="4" t="s">
        <v>67</v>
      </c>
      <c r="I13" s="14">
        <v>0</v>
      </c>
      <c r="K13" s="10">
        <v>0</v>
      </c>
      <c r="L13" s="7">
        <v>0</v>
      </c>
      <c r="M13" s="7"/>
      <c r="N13" s="7">
        <v>25000</v>
      </c>
      <c r="O13" s="7">
        <v>0</v>
      </c>
      <c r="P13" s="7"/>
      <c r="Q13" s="7">
        <v>0</v>
      </c>
      <c r="R13" s="7">
        <v>0</v>
      </c>
      <c r="S13" s="7"/>
      <c r="T13" s="7">
        <v>0</v>
      </c>
      <c r="U13" s="17">
        <v>0</v>
      </c>
    </row>
    <row r="14" spans="1:21">
      <c r="A14" t="s">
        <v>8</v>
      </c>
      <c r="B14" s="10">
        <v>2.9508220723187151E-2</v>
      </c>
      <c r="C14" s="7">
        <v>75.421522569027729</v>
      </c>
      <c r="D14" s="7">
        <v>4.4645824718749741E-6</v>
      </c>
      <c r="E14" s="7">
        <v>0</v>
      </c>
      <c r="F14" s="17">
        <f t="shared" si="0"/>
        <v>75.451035254333391</v>
      </c>
      <c r="H14" s="4" t="s">
        <v>68</v>
      </c>
      <c r="I14" s="14">
        <v>4043353.2499999693</v>
      </c>
      <c r="K14" s="10">
        <v>10000</v>
      </c>
      <c r="L14" s="7">
        <v>8983</v>
      </c>
      <c r="M14" s="7"/>
      <c r="N14" s="7">
        <v>930000</v>
      </c>
      <c r="O14" s="7">
        <v>951758</v>
      </c>
      <c r="P14" s="7"/>
      <c r="Q14" s="7">
        <v>10000</v>
      </c>
      <c r="R14" s="7">
        <v>10064</v>
      </c>
      <c r="S14" s="7"/>
      <c r="T14" s="7">
        <v>0</v>
      </c>
      <c r="U14" s="17">
        <v>0</v>
      </c>
    </row>
    <row r="15" spans="1:21">
      <c r="A15" t="s">
        <v>9</v>
      </c>
      <c r="B15" s="10">
        <v>32.927242465142626</v>
      </c>
      <c r="C15" s="7">
        <v>100.60292011592537</v>
      </c>
      <c r="D15" s="7">
        <v>-1.7018809548002112E-2</v>
      </c>
      <c r="E15" s="7">
        <v>0</v>
      </c>
      <c r="F15" s="17">
        <f t="shared" si="0"/>
        <v>133.51314377151999</v>
      </c>
      <c r="H15" s="4" t="s">
        <v>69</v>
      </c>
      <c r="I15" s="14">
        <v>14401269.273</v>
      </c>
      <c r="K15" s="10"/>
      <c r="L15" s="7"/>
      <c r="M15" s="7"/>
      <c r="N15" s="7"/>
      <c r="O15" s="7"/>
      <c r="P15" s="7"/>
      <c r="Q15" s="7"/>
      <c r="R15" s="7"/>
      <c r="S15" s="7"/>
      <c r="T15" s="7"/>
      <c r="U15" s="17"/>
    </row>
    <row r="16" spans="1:21">
      <c r="A16" t="s">
        <v>10</v>
      </c>
      <c r="B16" s="10">
        <v>84.871887328801677</v>
      </c>
      <c r="C16" s="7">
        <v>1397.6299124602228</v>
      </c>
      <c r="D16" s="7">
        <v>1.888863899996885E-2</v>
      </c>
      <c r="E16" s="7">
        <v>432.33685170859098</v>
      </c>
      <c r="F16" s="17">
        <f t="shared" si="0"/>
        <v>1914.8575401366154</v>
      </c>
      <c r="H16" s="4" t="s">
        <v>70</v>
      </c>
      <c r="I16" s="14">
        <v>0</v>
      </c>
      <c r="K16" s="10">
        <v>0</v>
      </c>
      <c r="L16" s="7">
        <v>0</v>
      </c>
      <c r="M16" s="7"/>
      <c r="N16" s="7">
        <v>12100000</v>
      </c>
      <c r="O16" s="7">
        <v>262519.01</v>
      </c>
      <c r="P16" s="7"/>
      <c r="Q16" s="7">
        <v>0</v>
      </c>
      <c r="R16" s="7">
        <v>0</v>
      </c>
      <c r="S16" s="7"/>
      <c r="T16" s="7">
        <v>2800000</v>
      </c>
      <c r="U16" s="17">
        <v>-463.21</v>
      </c>
    </row>
    <row r="17" spans="1:21">
      <c r="A17" t="s">
        <v>11</v>
      </c>
      <c r="B17" s="10">
        <v>2.2046705478828699E-2</v>
      </c>
      <c r="C17" s="7">
        <v>1.6605858596449252</v>
      </c>
      <c r="D17" s="7">
        <v>8.7087576491104469E-3</v>
      </c>
      <c r="E17" s="7">
        <v>0</v>
      </c>
      <c r="F17" s="17">
        <f t="shared" si="0"/>
        <v>1.6913413227728644</v>
      </c>
      <c r="H17" s="4"/>
      <c r="I17" s="14"/>
      <c r="K17" s="10">
        <v>25505</v>
      </c>
      <c r="L17" s="7">
        <v>0</v>
      </c>
      <c r="M17" s="7"/>
      <c r="N17" s="7">
        <v>4468</v>
      </c>
      <c r="O17" s="7">
        <v>0</v>
      </c>
      <c r="P17" s="7"/>
      <c r="Q17" s="7">
        <v>0</v>
      </c>
      <c r="R17" s="7">
        <v>3683</v>
      </c>
      <c r="S17" s="7"/>
      <c r="T17" s="7">
        <v>0</v>
      </c>
      <c r="U17" s="17">
        <v>0</v>
      </c>
    </row>
    <row r="18" spans="1:21">
      <c r="A18" t="s">
        <v>12</v>
      </c>
      <c r="B18" s="10">
        <v>7.6245561227494818E-4</v>
      </c>
      <c r="C18" s="7">
        <v>0.75680319149250863</v>
      </c>
      <c r="D18" s="7">
        <v>3.7004159621648981E-6</v>
      </c>
      <c r="E18" s="7">
        <v>0</v>
      </c>
      <c r="F18" s="17">
        <f t="shared" si="0"/>
        <v>0.75756934752074578</v>
      </c>
      <c r="H18" s="4" t="s">
        <v>71</v>
      </c>
      <c r="I18" s="14"/>
      <c r="K18" s="10">
        <v>0</v>
      </c>
      <c r="L18" s="7">
        <v>0</v>
      </c>
      <c r="M18" s="7"/>
      <c r="N18" s="7">
        <v>0</v>
      </c>
      <c r="O18" s="7">
        <v>0</v>
      </c>
      <c r="P18" s="7"/>
      <c r="Q18" s="7">
        <v>0</v>
      </c>
      <c r="R18" s="7">
        <v>0</v>
      </c>
      <c r="S18" s="7"/>
      <c r="T18" s="7">
        <v>0</v>
      </c>
      <c r="U18" s="17">
        <v>0</v>
      </c>
    </row>
    <row r="19" spans="1:21">
      <c r="A19" t="s">
        <v>13</v>
      </c>
      <c r="B19" s="10">
        <v>0.15270878874298432</v>
      </c>
      <c r="C19" s="7">
        <v>135.83040084759705</v>
      </c>
      <c r="D19" s="7">
        <v>-9.9225595759549166E-3</v>
      </c>
      <c r="E19" s="7">
        <v>1907.7690223604441</v>
      </c>
      <c r="F19" s="17">
        <f t="shared" si="0"/>
        <v>2043.7422094372082</v>
      </c>
      <c r="H19" s="4" t="s">
        <v>72</v>
      </c>
      <c r="I19" s="14">
        <v>3228522434.5828195</v>
      </c>
      <c r="K19" s="10">
        <v>100000</v>
      </c>
      <c r="L19" s="7">
        <v>100000</v>
      </c>
      <c r="M19" s="7"/>
      <c r="N19" s="7">
        <v>6000000</v>
      </c>
      <c r="O19" s="7">
        <v>6300000</v>
      </c>
      <c r="P19" s="7"/>
      <c r="Q19" s="7">
        <v>100000</v>
      </c>
      <c r="R19" s="7">
        <v>100000</v>
      </c>
      <c r="S19" s="7"/>
      <c r="T19" s="7">
        <v>21500000</v>
      </c>
      <c r="U19" s="17">
        <v>24150000</v>
      </c>
    </row>
    <row r="20" spans="1:21">
      <c r="A20" t="s">
        <v>14</v>
      </c>
      <c r="B20" s="10">
        <v>78.079320279881358</v>
      </c>
      <c r="C20" s="7">
        <v>26.620106040383689</v>
      </c>
      <c r="D20" s="7">
        <v>1.0001125795430772E-5</v>
      </c>
      <c r="E20" s="7">
        <v>151.52876445790753</v>
      </c>
      <c r="F20" s="17">
        <f t="shared" si="0"/>
        <v>256.22820077929839</v>
      </c>
      <c r="H20" s="4" t="s">
        <v>73</v>
      </c>
      <c r="I20" s="14">
        <v>102571577.00399998</v>
      </c>
      <c r="K20" s="10"/>
      <c r="L20" s="7"/>
      <c r="M20" s="7"/>
      <c r="N20" s="7"/>
      <c r="O20" s="7"/>
      <c r="P20" s="7"/>
      <c r="Q20" s="7"/>
      <c r="R20" s="7"/>
      <c r="S20" s="7"/>
      <c r="T20" s="7"/>
      <c r="U20" s="17"/>
    </row>
    <row r="21" spans="1:21">
      <c r="A21" t="s">
        <v>15</v>
      </c>
      <c r="B21" s="10">
        <v>4.2480458074578564E-3</v>
      </c>
      <c r="C21" s="7">
        <v>2.2868326425050327</v>
      </c>
      <c r="D21" s="7">
        <v>-9.845478581699485E-3</v>
      </c>
      <c r="E21" s="7">
        <v>20.917905749287456</v>
      </c>
      <c r="F21" s="17">
        <f t="shared" si="0"/>
        <v>23.199140959018248</v>
      </c>
      <c r="H21" s="4" t="s">
        <v>74</v>
      </c>
      <c r="I21" s="14"/>
      <c r="K21" s="10">
        <v>0</v>
      </c>
      <c r="L21" s="7">
        <v>0</v>
      </c>
      <c r="M21" s="7"/>
      <c r="N21" s="7">
        <v>0</v>
      </c>
      <c r="O21" s="7">
        <v>0</v>
      </c>
      <c r="P21" s="7"/>
      <c r="Q21" s="7">
        <v>0</v>
      </c>
      <c r="R21" s="7">
        <v>0</v>
      </c>
      <c r="S21" s="7"/>
      <c r="T21" s="7">
        <v>240000</v>
      </c>
      <c r="U21" s="17">
        <v>0</v>
      </c>
    </row>
    <row r="22" spans="1:21">
      <c r="A22" t="s">
        <v>16</v>
      </c>
      <c r="B22" s="10">
        <v>1.4748429202711577E-2</v>
      </c>
      <c r="C22" s="7">
        <v>2.6216496620254475</v>
      </c>
      <c r="D22" s="7">
        <v>0</v>
      </c>
      <c r="E22" s="7">
        <v>0</v>
      </c>
      <c r="F22" s="17">
        <f t="shared" si="0"/>
        <v>2.636398091228159</v>
      </c>
      <c r="H22" s="4" t="s">
        <v>75</v>
      </c>
      <c r="I22" s="14">
        <v>84689349.896513835</v>
      </c>
      <c r="K22" s="10"/>
      <c r="L22" s="7"/>
      <c r="M22" s="7"/>
      <c r="N22" s="7"/>
      <c r="O22" s="7"/>
      <c r="P22" s="7"/>
      <c r="Q22" s="7"/>
      <c r="R22" s="7"/>
      <c r="S22" s="7"/>
      <c r="T22" s="7"/>
      <c r="U22" s="17"/>
    </row>
    <row r="23" spans="1:21">
      <c r="A23" t="s">
        <v>17</v>
      </c>
      <c r="B23" s="10">
        <v>22.242318202450406</v>
      </c>
      <c r="C23" s="7">
        <v>3.75746575807716</v>
      </c>
      <c r="D23" s="7">
        <v>8.1228630491912181E-3</v>
      </c>
      <c r="E23" s="7">
        <v>0</v>
      </c>
      <c r="F23" s="17">
        <f t="shared" si="0"/>
        <v>26.007906823576757</v>
      </c>
      <c r="H23" s="4" t="s">
        <v>76</v>
      </c>
      <c r="I23" s="14"/>
      <c r="K23" s="10"/>
      <c r="L23" s="7"/>
      <c r="M23" s="7"/>
      <c r="N23" s="7"/>
      <c r="O23" s="7"/>
      <c r="P23" s="7"/>
      <c r="Q23" s="7"/>
      <c r="R23" s="7"/>
      <c r="S23" s="7"/>
      <c r="T23" s="7"/>
      <c r="U23" s="17"/>
    </row>
    <row r="24" spans="1:21">
      <c r="A24" t="s">
        <v>18</v>
      </c>
      <c r="B24" s="10">
        <v>5.6268331416276851E-2</v>
      </c>
      <c r="C24" s="7">
        <v>5.2479393986286595</v>
      </c>
      <c r="D24" s="7">
        <v>0</v>
      </c>
      <c r="E24" s="7">
        <v>0</v>
      </c>
      <c r="F24" s="17">
        <f t="shared" si="0"/>
        <v>5.3042077300449364</v>
      </c>
      <c r="H24" s="4" t="s">
        <v>77</v>
      </c>
      <c r="I24" s="14">
        <v>136926126.18959287</v>
      </c>
      <c r="K24" s="10">
        <v>168235</v>
      </c>
      <c r="L24" s="7">
        <v>0</v>
      </c>
      <c r="M24" s="7"/>
      <c r="N24" s="7">
        <v>51765</v>
      </c>
      <c r="O24" s="7">
        <v>0</v>
      </c>
      <c r="P24" s="7"/>
      <c r="Q24" s="7">
        <v>0</v>
      </c>
      <c r="R24" s="7">
        <v>0</v>
      </c>
      <c r="S24" s="7"/>
      <c r="T24" s="7">
        <v>0</v>
      </c>
      <c r="U24" s="17">
        <v>0</v>
      </c>
    </row>
    <row r="25" spans="1:21">
      <c r="A25" t="s">
        <v>19</v>
      </c>
      <c r="B25" s="10">
        <v>1.6427343487805501E-2</v>
      </c>
      <c r="C25" s="7">
        <v>8.8741070594987832</v>
      </c>
      <c r="D25" s="7">
        <v>1.0001166079829022E-2</v>
      </c>
      <c r="E25" s="7">
        <v>0</v>
      </c>
      <c r="F25" s="17">
        <f t="shared" si="0"/>
        <v>8.9005355690664185</v>
      </c>
      <c r="H25" s="4"/>
      <c r="I25" s="14"/>
      <c r="K25" s="10"/>
      <c r="L25" s="7"/>
      <c r="M25" s="7"/>
      <c r="N25" s="7"/>
      <c r="O25" s="7"/>
      <c r="P25" s="7"/>
      <c r="Q25" s="7"/>
      <c r="R25" s="7"/>
      <c r="S25" s="7"/>
      <c r="T25" s="7"/>
      <c r="U25" s="17"/>
    </row>
    <row r="26" spans="1:21">
      <c r="A26" t="s">
        <v>20</v>
      </c>
      <c r="B26" s="10">
        <v>-6.554574375994271E-5</v>
      </c>
      <c r="C26" s="7">
        <v>22.484165916655911</v>
      </c>
      <c r="D26" s="7">
        <v>0</v>
      </c>
      <c r="E26" s="7">
        <v>484.00415354128927</v>
      </c>
      <c r="F26" s="17">
        <f t="shared" si="0"/>
        <v>506.4882539122014</v>
      </c>
      <c r="H26" s="4" t="s">
        <v>78</v>
      </c>
      <c r="I26" s="14">
        <f>SUM(I10:I16)-SUM(I19:I24)</f>
        <v>13817.37695646286</v>
      </c>
      <c r="K26" s="10">
        <v>0</v>
      </c>
      <c r="L26" s="7">
        <v>0</v>
      </c>
      <c r="M26" s="7"/>
      <c r="N26" s="7">
        <v>6000000</v>
      </c>
      <c r="O26" s="7">
        <v>0</v>
      </c>
      <c r="P26" s="7"/>
      <c r="Q26" s="7">
        <v>0</v>
      </c>
      <c r="R26" s="7">
        <v>0</v>
      </c>
      <c r="S26" s="7"/>
      <c r="T26" s="7">
        <v>0</v>
      </c>
      <c r="U26" s="17">
        <v>0</v>
      </c>
    </row>
    <row r="27" spans="1:21">
      <c r="A27" t="s">
        <v>21</v>
      </c>
      <c r="B27" s="10">
        <v>0.4090494823476547</v>
      </c>
      <c r="C27" s="7">
        <v>45.469550205394626</v>
      </c>
      <c r="D27" s="7">
        <v>3.9120109282584664E-8</v>
      </c>
      <c r="E27" s="7">
        <v>0</v>
      </c>
      <c r="F27" s="17">
        <f t="shared" si="0"/>
        <v>45.87859972686239</v>
      </c>
      <c r="H27" s="4" t="s">
        <v>79</v>
      </c>
      <c r="I27" s="14">
        <f>+F60</f>
        <v>13817.376958971805</v>
      </c>
      <c r="K27" s="10">
        <v>0</v>
      </c>
      <c r="L27" s="7">
        <v>0</v>
      </c>
      <c r="M27" s="7"/>
      <c r="N27" s="7">
        <v>500000</v>
      </c>
      <c r="O27" s="7">
        <v>500000</v>
      </c>
      <c r="P27" s="7"/>
      <c r="Q27" s="7">
        <v>0</v>
      </c>
      <c r="R27" s="7">
        <v>0</v>
      </c>
      <c r="S27" s="7"/>
      <c r="T27" s="7">
        <v>0</v>
      </c>
      <c r="U27" s="17">
        <v>0</v>
      </c>
    </row>
    <row r="28" spans="1:21">
      <c r="A28" t="s">
        <v>22</v>
      </c>
      <c r="B28" s="10">
        <v>0.19835606308242859</v>
      </c>
      <c r="C28" s="7">
        <v>15.757222164102132</v>
      </c>
      <c r="D28" s="7">
        <v>0</v>
      </c>
      <c r="E28" s="7">
        <v>1819.0097171030939</v>
      </c>
      <c r="F28" s="17">
        <f t="shared" si="0"/>
        <v>1834.9652953302784</v>
      </c>
      <c r="H28" s="23"/>
      <c r="I28" s="25"/>
      <c r="K28" s="10">
        <v>0</v>
      </c>
      <c r="L28" s="7">
        <v>0</v>
      </c>
      <c r="M28" s="7"/>
      <c r="N28" s="7">
        <v>350000</v>
      </c>
      <c r="O28" s="7">
        <v>0</v>
      </c>
      <c r="P28" s="7"/>
      <c r="Q28" s="7">
        <v>0</v>
      </c>
      <c r="R28" s="7">
        <v>0</v>
      </c>
      <c r="S28" s="7"/>
      <c r="T28" s="7">
        <v>23108333</v>
      </c>
      <c r="U28" s="17">
        <v>24800000</v>
      </c>
    </row>
    <row r="29" spans="1:21">
      <c r="A29" t="s">
        <v>23</v>
      </c>
      <c r="B29" s="10">
        <v>4.0858682596137896E-2</v>
      </c>
      <c r="C29" s="7">
        <v>5.0887439357175026</v>
      </c>
      <c r="D29" s="7">
        <v>2.0001902304171526E-6</v>
      </c>
      <c r="E29" s="7">
        <v>472.01589918322861</v>
      </c>
      <c r="F29" s="17">
        <f t="shared" si="0"/>
        <v>477.1455038017325</v>
      </c>
      <c r="K29" s="10">
        <v>0</v>
      </c>
      <c r="L29" s="7">
        <v>0</v>
      </c>
      <c r="M29" s="7"/>
      <c r="N29" s="7">
        <v>0</v>
      </c>
      <c r="O29" s="7">
        <v>0</v>
      </c>
      <c r="P29" s="7"/>
      <c r="Q29" s="7">
        <v>0</v>
      </c>
      <c r="R29" s="7">
        <v>0</v>
      </c>
      <c r="S29" s="7"/>
      <c r="T29" s="7">
        <v>5700000</v>
      </c>
      <c r="U29" s="17">
        <v>0</v>
      </c>
    </row>
    <row r="30" spans="1:21">
      <c r="A30" t="s">
        <v>24</v>
      </c>
      <c r="B30" s="10">
        <v>2.5693617960143911E-2</v>
      </c>
      <c r="C30" s="7">
        <v>3.1898246472082974</v>
      </c>
      <c r="D30" s="7">
        <v>-1.8545958951258664E-6</v>
      </c>
      <c r="E30" s="7">
        <v>80.885647323331796</v>
      </c>
      <c r="F30" s="17">
        <f t="shared" si="0"/>
        <v>84.101163733904343</v>
      </c>
      <c r="K30" s="10"/>
      <c r="L30" s="7"/>
      <c r="M30" s="7"/>
      <c r="N30" s="7"/>
      <c r="O30" s="7"/>
      <c r="P30" s="7"/>
      <c r="Q30" s="7"/>
      <c r="R30" s="7"/>
      <c r="S30" s="7"/>
      <c r="T30" s="7"/>
      <c r="U30" s="17"/>
    </row>
    <row r="31" spans="1:21">
      <c r="A31" t="s">
        <v>25</v>
      </c>
      <c r="B31" s="10">
        <v>3.344554717216397E-2</v>
      </c>
      <c r="C31" s="7">
        <v>6.3359852978755953</v>
      </c>
      <c r="D31" s="7">
        <v>-9.9873576126834427E-3</v>
      </c>
      <c r="E31" s="7">
        <v>0</v>
      </c>
      <c r="F31" s="17">
        <f t="shared" si="0"/>
        <v>6.359443487435076</v>
      </c>
      <c r="K31" s="10">
        <v>0</v>
      </c>
      <c r="L31" s="7">
        <v>0</v>
      </c>
      <c r="M31" s="7"/>
      <c r="N31" s="7">
        <v>630730</v>
      </c>
      <c r="O31" s="7">
        <v>0</v>
      </c>
      <c r="P31" s="7"/>
      <c r="Q31" s="7">
        <v>0</v>
      </c>
      <c r="R31" s="7">
        <v>0</v>
      </c>
      <c r="S31" s="7"/>
      <c r="T31" s="7">
        <v>0</v>
      </c>
      <c r="U31" s="17">
        <v>0</v>
      </c>
    </row>
    <row r="32" spans="1:21">
      <c r="A32" t="s">
        <v>26</v>
      </c>
      <c r="B32" s="10">
        <v>1.3294407602586489E-3</v>
      </c>
      <c r="C32" s="7">
        <v>3.0736923658623709</v>
      </c>
      <c r="D32" s="7">
        <v>2.0407162186270801E-5</v>
      </c>
      <c r="E32" s="7">
        <v>0</v>
      </c>
      <c r="F32" s="17">
        <f t="shared" si="0"/>
        <v>3.0750422137848159</v>
      </c>
      <c r="K32" s="10"/>
      <c r="L32" s="7"/>
      <c r="M32" s="7"/>
      <c r="N32" s="7"/>
      <c r="O32" s="7"/>
      <c r="P32" s="7"/>
      <c r="Q32" s="7"/>
      <c r="R32" s="7"/>
      <c r="S32" s="7"/>
      <c r="T32" s="7"/>
      <c r="U32" s="17"/>
    </row>
    <row r="33" spans="1:21">
      <c r="A33" t="s">
        <v>27</v>
      </c>
      <c r="B33" s="10">
        <v>2.3241497149939505E-3</v>
      </c>
      <c r="C33" s="7">
        <v>1.4513357920222916</v>
      </c>
      <c r="D33" s="7">
        <v>-7.0007240209083616E-7</v>
      </c>
      <c r="E33" s="7">
        <v>0</v>
      </c>
      <c r="F33" s="17">
        <f t="shared" si="0"/>
        <v>1.4536592416648835</v>
      </c>
      <c r="K33" s="10"/>
      <c r="L33" s="7"/>
      <c r="M33" s="7"/>
      <c r="N33" s="7"/>
      <c r="O33" s="7"/>
      <c r="P33" s="7"/>
      <c r="Q33" s="7"/>
      <c r="R33" s="7"/>
      <c r="S33" s="7"/>
      <c r="T33" s="7"/>
      <c r="U33" s="17"/>
    </row>
    <row r="34" spans="1:21">
      <c r="A34" t="s">
        <v>28</v>
      </c>
      <c r="B34" s="10">
        <v>1.9384304104619332E-2</v>
      </c>
      <c r="C34" s="7">
        <v>1.317226408082206</v>
      </c>
      <c r="D34" s="7">
        <v>3.6110422303552471E-7</v>
      </c>
      <c r="E34" s="7">
        <v>0</v>
      </c>
      <c r="F34" s="17">
        <f t="shared" si="0"/>
        <v>1.3366110732910483</v>
      </c>
      <c r="K34" s="10"/>
      <c r="L34" s="7"/>
      <c r="M34" s="7"/>
      <c r="N34" s="7"/>
      <c r="O34" s="7"/>
      <c r="P34" s="7"/>
      <c r="Q34" s="7"/>
      <c r="R34" s="7"/>
      <c r="S34" s="7"/>
      <c r="T34" s="7"/>
      <c r="U34" s="17"/>
    </row>
    <row r="35" spans="1:21">
      <c r="A35" t="s">
        <v>29</v>
      </c>
      <c r="B35" s="10">
        <v>2.3054117079546188E-3</v>
      </c>
      <c r="C35" s="7">
        <v>14.901212023629341</v>
      </c>
      <c r="D35" s="7">
        <v>1.0001165846971229E-2</v>
      </c>
      <c r="E35" s="7">
        <v>0</v>
      </c>
      <c r="F35" s="17">
        <f t="shared" si="0"/>
        <v>14.913518601184267</v>
      </c>
      <c r="K35" s="10"/>
      <c r="L35" s="7"/>
      <c r="M35" s="7"/>
      <c r="N35" s="7"/>
      <c r="O35" s="7"/>
      <c r="P35" s="7"/>
      <c r="Q35" s="7"/>
      <c r="R35" s="7"/>
      <c r="S35" s="7"/>
      <c r="T35" s="7"/>
      <c r="U35" s="17"/>
    </row>
    <row r="36" spans="1:21">
      <c r="A36" t="s">
        <v>30</v>
      </c>
      <c r="B36" s="10">
        <v>-0.75903290051064687</v>
      </c>
      <c r="C36" s="7">
        <v>31.186260365706403</v>
      </c>
      <c r="D36" s="7">
        <v>0</v>
      </c>
      <c r="E36" s="7">
        <v>790.94294816534966</v>
      </c>
      <c r="F36" s="17">
        <f t="shared" si="0"/>
        <v>821.37017563054542</v>
      </c>
      <c r="K36" s="10">
        <v>0</v>
      </c>
      <c r="L36" s="7">
        <v>0</v>
      </c>
      <c r="M36" s="7"/>
      <c r="N36" s="7">
        <v>0</v>
      </c>
      <c r="O36" s="7">
        <v>0</v>
      </c>
      <c r="P36" s="7"/>
      <c r="Q36" s="7">
        <v>0</v>
      </c>
      <c r="R36" s="7">
        <v>0</v>
      </c>
      <c r="S36" s="7"/>
      <c r="T36" s="7">
        <v>10000000</v>
      </c>
      <c r="U36" s="17">
        <v>11255081</v>
      </c>
    </row>
    <row r="37" spans="1:21">
      <c r="A37" t="s">
        <v>31</v>
      </c>
      <c r="B37" s="10">
        <v>9.0137051972476456E-3</v>
      </c>
      <c r="C37" s="7">
        <v>1.9908923652110389</v>
      </c>
      <c r="D37" s="7">
        <v>8.5009685690058253E-6</v>
      </c>
      <c r="E37" s="7">
        <v>0</v>
      </c>
      <c r="F37" s="17">
        <f t="shared" si="0"/>
        <v>1.9999145713768556</v>
      </c>
      <c r="K37" s="10"/>
      <c r="L37" s="7"/>
      <c r="M37" s="7"/>
      <c r="N37" s="7"/>
      <c r="O37" s="7"/>
      <c r="P37" s="7"/>
      <c r="Q37" s="7"/>
      <c r="R37" s="7"/>
      <c r="S37" s="7"/>
      <c r="T37" s="7"/>
      <c r="U37" s="17"/>
    </row>
    <row r="38" spans="1:21">
      <c r="A38" t="s">
        <v>32</v>
      </c>
      <c r="B38" s="10">
        <v>-3.5633974488800557E-14</v>
      </c>
      <c r="C38" s="7">
        <v>0</v>
      </c>
      <c r="D38" s="7">
        <v>0</v>
      </c>
      <c r="E38" s="7">
        <v>0</v>
      </c>
      <c r="F38" s="17">
        <f t="shared" ref="F38:F58" si="1">SUM(B38:E38)</f>
        <v>-3.5633974488800557E-14</v>
      </c>
      <c r="K38" s="10"/>
      <c r="L38" s="7"/>
      <c r="M38" s="7"/>
      <c r="N38" s="7"/>
      <c r="O38" s="7"/>
      <c r="P38" s="7"/>
      <c r="Q38" s="7"/>
      <c r="R38" s="7"/>
      <c r="S38" s="7"/>
      <c r="T38" s="7"/>
      <c r="U38" s="17"/>
    </row>
    <row r="39" spans="1:21">
      <c r="A39" t="s">
        <v>33</v>
      </c>
      <c r="B39" s="10">
        <v>187.99446474551223</v>
      </c>
      <c r="C39" s="7">
        <v>32.504328053852078</v>
      </c>
      <c r="D39" s="7">
        <v>9.9720427884726903E-3</v>
      </c>
      <c r="E39" s="7">
        <v>856.26411947328597</v>
      </c>
      <c r="F39" s="17">
        <f t="shared" si="1"/>
        <v>1076.7728843154387</v>
      </c>
      <c r="K39" s="10">
        <v>0</v>
      </c>
      <c r="L39" s="7">
        <v>0</v>
      </c>
      <c r="M39" s="7"/>
      <c r="N39" s="7">
        <v>10000000</v>
      </c>
      <c r="O39" s="7">
        <v>11400000</v>
      </c>
      <c r="P39" s="7"/>
      <c r="Q39" s="7">
        <v>0</v>
      </c>
      <c r="R39" s="7">
        <v>0</v>
      </c>
      <c r="S39" s="7"/>
      <c r="T39" s="7">
        <v>0</v>
      </c>
      <c r="U39" s="17">
        <v>0</v>
      </c>
    </row>
    <row r="40" spans="1:21">
      <c r="A40" t="s">
        <v>34</v>
      </c>
      <c r="B40" s="10">
        <v>1.0353517851456218E-2</v>
      </c>
      <c r="C40" s="7">
        <v>0.17207954882542253</v>
      </c>
      <c r="D40" s="7">
        <v>6.6197718145700746E-3</v>
      </c>
      <c r="E40" s="7">
        <v>0</v>
      </c>
      <c r="F40" s="17">
        <f t="shared" si="1"/>
        <v>0.18905283849144883</v>
      </c>
      <c r="K40" s="10"/>
      <c r="L40" s="7"/>
      <c r="M40" s="7"/>
      <c r="N40" s="7"/>
      <c r="O40" s="7"/>
      <c r="P40" s="7"/>
      <c r="Q40" s="7"/>
      <c r="R40" s="7"/>
      <c r="S40" s="7"/>
      <c r="T40" s="7"/>
      <c r="U40" s="17"/>
    </row>
    <row r="41" spans="1:21">
      <c r="A41" t="s">
        <v>35</v>
      </c>
      <c r="B41" s="10">
        <v>245.79588964115828</v>
      </c>
      <c r="C41" s="7">
        <v>55.759267652989365</v>
      </c>
      <c r="D41" s="7">
        <v>7.8773337168729467E-3</v>
      </c>
      <c r="E41" s="7">
        <v>275.36813508812338</v>
      </c>
      <c r="F41" s="17">
        <f t="shared" si="1"/>
        <v>576.93116971598783</v>
      </c>
      <c r="K41" s="10">
        <v>0</v>
      </c>
      <c r="L41" s="7">
        <v>0</v>
      </c>
      <c r="M41" s="7"/>
      <c r="N41" s="7">
        <v>400000</v>
      </c>
      <c r="O41" s="7">
        <v>0</v>
      </c>
      <c r="P41" s="7"/>
      <c r="Q41" s="7">
        <v>0</v>
      </c>
      <c r="R41" s="7">
        <v>0</v>
      </c>
      <c r="S41" s="7"/>
      <c r="T41" s="7">
        <v>3100000</v>
      </c>
      <c r="U41" s="17">
        <v>0</v>
      </c>
    </row>
    <row r="42" spans="1:21">
      <c r="A42" t="s">
        <v>36</v>
      </c>
      <c r="B42" s="10">
        <v>9.812072224832491E-3</v>
      </c>
      <c r="C42" s="7">
        <v>8.5108055058080936</v>
      </c>
      <c r="D42" s="7">
        <v>-4.2401192019764777E-5</v>
      </c>
      <c r="E42" s="7">
        <v>0</v>
      </c>
      <c r="F42" s="17">
        <f t="shared" si="1"/>
        <v>8.5205751768409055</v>
      </c>
      <c r="K42" s="10">
        <v>47000</v>
      </c>
      <c r="L42" s="7">
        <v>23000</v>
      </c>
      <c r="M42" s="7"/>
      <c r="N42" s="7">
        <v>44000</v>
      </c>
      <c r="O42" s="7">
        <v>22000</v>
      </c>
      <c r="P42" s="7"/>
      <c r="Q42" s="7">
        <v>9000</v>
      </c>
      <c r="R42" s="7">
        <v>5000</v>
      </c>
      <c r="S42" s="7"/>
      <c r="T42" s="7">
        <v>0</v>
      </c>
      <c r="U42" s="17">
        <v>0</v>
      </c>
    </row>
    <row r="43" spans="1:21">
      <c r="A43" t="s">
        <v>37</v>
      </c>
      <c r="B43" s="10">
        <v>1.4043107605289151E-2</v>
      </c>
      <c r="C43" s="7">
        <v>14.127317317819688</v>
      </c>
      <c r="D43" s="7">
        <v>0</v>
      </c>
      <c r="E43" s="7">
        <v>0</v>
      </c>
      <c r="F43" s="17">
        <f t="shared" si="1"/>
        <v>14.141360425424978</v>
      </c>
      <c r="K43" s="10"/>
      <c r="L43" s="7"/>
      <c r="M43" s="7"/>
      <c r="N43" s="7"/>
      <c r="O43" s="7"/>
      <c r="P43" s="7"/>
      <c r="Q43" s="7"/>
      <c r="R43" s="7"/>
      <c r="S43" s="7"/>
      <c r="T43" s="7"/>
      <c r="U43" s="17"/>
    </row>
    <row r="44" spans="1:21">
      <c r="A44" t="s">
        <v>38</v>
      </c>
      <c r="B44" s="10">
        <v>0.6367500370970447</v>
      </c>
      <c r="C44" s="7">
        <v>61.666849225992337</v>
      </c>
      <c r="D44" s="7">
        <v>2.8933046539164936E-5</v>
      </c>
      <c r="E44" s="7">
        <v>2079.2400413714349</v>
      </c>
      <c r="F44" s="17">
        <f t="shared" si="1"/>
        <v>2141.5436695675708</v>
      </c>
      <c r="K44" s="10">
        <v>0</v>
      </c>
      <c r="L44" s="7">
        <v>0</v>
      </c>
      <c r="M44" s="7"/>
      <c r="N44" s="7">
        <v>0</v>
      </c>
      <c r="O44" s="7">
        <v>0</v>
      </c>
      <c r="P44" s="7"/>
      <c r="Q44" s="7">
        <v>0</v>
      </c>
      <c r="R44" s="7">
        <v>0</v>
      </c>
      <c r="S44" s="7"/>
      <c r="T44" s="7">
        <v>32905625</v>
      </c>
      <c r="U44" s="17">
        <v>0</v>
      </c>
    </row>
    <row r="45" spans="1:21">
      <c r="A45" t="s">
        <v>39</v>
      </c>
      <c r="B45" s="10">
        <v>4.1785383846104196E-2</v>
      </c>
      <c r="C45" s="7">
        <v>6.5806506869848818</v>
      </c>
      <c r="D45" s="7">
        <v>0</v>
      </c>
      <c r="E45" s="7">
        <v>0</v>
      </c>
      <c r="F45" s="17">
        <f t="shared" si="1"/>
        <v>6.622436070830986</v>
      </c>
      <c r="K45" s="10"/>
      <c r="L45" s="7"/>
      <c r="M45" s="7"/>
      <c r="N45" s="7"/>
      <c r="O45" s="7"/>
      <c r="P45" s="7"/>
      <c r="Q45" s="7"/>
      <c r="R45" s="7"/>
      <c r="S45" s="7"/>
      <c r="T45" s="7"/>
      <c r="U45" s="17"/>
    </row>
    <row r="46" spans="1:21">
      <c r="A46" t="s">
        <v>40</v>
      </c>
      <c r="B46" s="10">
        <v>3.838295907257816E-2</v>
      </c>
      <c r="C46" s="7">
        <v>8.7329556379845599</v>
      </c>
      <c r="D46" s="7">
        <v>0</v>
      </c>
      <c r="E46" s="7">
        <v>0</v>
      </c>
      <c r="F46" s="17">
        <f t="shared" si="1"/>
        <v>8.771338597057138</v>
      </c>
      <c r="K46" s="10">
        <v>0</v>
      </c>
      <c r="L46" s="7">
        <v>0</v>
      </c>
      <c r="M46" s="7"/>
      <c r="N46" s="7">
        <v>35000</v>
      </c>
      <c r="O46" s="7">
        <v>0</v>
      </c>
      <c r="P46" s="7"/>
      <c r="Q46" s="7">
        <v>0</v>
      </c>
      <c r="R46" s="7">
        <v>0</v>
      </c>
      <c r="S46" s="7"/>
      <c r="T46" s="7">
        <v>0</v>
      </c>
      <c r="U46" s="17">
        <v>0</v>
      </c>
    </row>
    <row r="47" spans="1:21">
      <c r="A47" t="s">
        <v>41</v>
      </c>
      <c r="B47" s="10">
        <v>46.01657144195633</v>
      </c>
      <c r="C47" s="7">
        <v>8.5589084132952848</v>
      </c>
      <c r="D47" s="7">
        <v>0</v>
      </c>
      <c r="E47" s="7">
        <v>0</v>
      </c>
      <c r="F47" s="17">
        <f t="shared" si="1"/>
        <v>54.575479855251615</v>
      </c>
      <c r="K47" s="10"/>
      <c r="L47" s="7"/>
      <c r="M47" s="7"/>
      <c r="N47" s="7"/>
      <c r="O47" s="7"/>
      <c r="P47" s="7"/>
      <c r="Q47" s="7"/>
      <c r="R47" s="7"/>
      <c r="S47" s="7"/>
      <c r="T47" s="7"/>
      <c r="U47" s="17"/>
    </row>
    <row r="48" spans="1:21">
      <c r="A48" t="s">
        <v>42</v>
      </c>
      <c r="B48" s="10">
        <v>4.2690852055784489E-3</v>
      </c>
      <c r="C48" s="7">
        <v>0.27394058494246565</v>
      </c>
      <c r="D48" s="7">
        <v>0</v>
      </c>
      <c r="E48" s="7">
        <v>0</v>
      </c>
      <c r="F48" s="17">
        <f t="shared" si="1"/>
        <v>0.2782096701480441</v>
      </c>
      <c r="K48" s="10"/>
      <c r="L48" s="7"/>
      <c r="M48" s="7"/>
      <c r="N48" s="7"/>
      <c r="O48" s="7"/>
      <c r="P48" s="7"/>
      <c r="Q48" s="7"/>
      <c r="R48" s="7"/>
      <c r="S48" s="7"/>
      <c r="T48" s="7"/>
      <c r="U48" s="17"/>
    </row>
    <row r="49" spans="1:21">
      <c r="A49" t="s">
        <v>43</v>
      </c>
      <c r="B49" s="10">
        <v>0.79470757597027841</v>
      </c>
      <c r="C49" s="7">
        <v>7.3092767482448835</v>
      </c>
      <c r="D49" s="7">
        <v>-9.4918255169788752E-3</v>
      </c>
      <c r="E49" s="7">
        <v>0</v>
      </c>
      <c r="F49" s="17">
        <f t="shared" si="1"/>
        <v>8.0944924986981839</v>
      </c>
      <c r="K49" s="10"/>
      <c r="L49" s="7"/>
      <c r="M49" s="7"/>
      <c r="N49" s="7"/>
      <c r="O49" s="7"/>
      <c r="P49" s="7"/>
      <c r="Q49" s="7"/>
      <c r="R49" s="7"/>
      <c r="S49" s="7"/>
      <c r="T49" s="7"/>
      <c r="U49" s="17"/>
    </row>
    <row r="50" spans="1:21">
      <c r="A50" t="s">
        <v>44</v>
      </c>
      <c r="B50" s="10">
        <v>144.85693611809984</v>
      </c>
      <c r="C50" s="7">
        <v>27.691432436113246</v>
      </c>
      <c r="D50" s="7">
        <v>8.3036805021645035E-3</v>
      </c>
      <c r="E50" s="7">
        <v>442.49892302695662</v>
      </c>
      <c r="F50" s="17">
        <f t="shared" si="1"/>
        <v>615.0555952616719</v>
      </c>
      <c r="K50" s="10">
        <v>4755103</v>
      </c>
      <c r="L50" s="7">
        <v>5296700</v>
      </c>
      <c r="M50" s="7"/>
      <c r="N50" s="7">
        <v>471044</v>
      </c>
      <c r="O50" s="7">
        <v>524695</v>
      </c>
      <c r="P50" s="7"/>
      <c r="Q50" s="7">
        <v>574882</v>
      </c>
      <c r="R50" s="7">
        <v>640360</v>
      </c>
      <c r="S50" s="7"/>
      <c r="T50" s="7">
        <v>0</v>
      </c>
      <c r="U50" s="17">
        <v>0</v>
      </c>
    </row>
    <row r="51" spans="1:21">
      <c r="A51" t="s">
        <v>45</v>
      </c>
      <c r="B51" s="10">
        <v>5.3386472938612428E-3</v>
      </c>
      <c r="C51" s="7">
        <v>3.2071788065877627</v>
      </c>
      <c r="D51" s="7">
        <v>1.0003166284613053E-2</v>
      </c>
      <c r="E51" s="7">
        <v>238.94335720175877</v>
      </c>
      <c r="F51" s="17">
        <f t="shared" si="1"/>
        <v>242.16587782192502</v>
      </c>
      <c r="K51" s="10">
        <v>5025000</v>
      </c>
      <c r="L51" s="7">
        <v>5196038</v>
      </c>
      <c r="M51" s="7"/>
      <c r="N51" s="7">
        <v>3758000</v>
      </c>
      <c r="O51" s="7">
        <v>3886064</v>
      </c>
      <c r="P51" s="7"/>
      <c r="Q51" s="7">
        <v>0</v>
      </c>
      <c r="R51" s="7">
        <v>0</v>
      </c>
      <c r="S51" s="7"/>
      <c r="T51" s="7">
        <v>3050000</v>
      </c>
      <c r="U51" s="17">
        <v>4549252</v>
      </c>
    </row>
    <row r="52" spans="1:21">
      <c r="A52" t="s">
        <v>46</v>
      </c>
      <c r="B52" s="10">
        <v>1.7273004866673602E-3</v>
      </c>
      <c r="C52" s="7">
        <v>1.1764380150725628</v>
      </c>
      <c r="D52" s="7">
        <v>0</v>
      </c>
      <c r="E52" s="7">
        <v>0</v>
      </c>
      <c r="F52" s="17">
        <f t="shared" si="1"/>
        <v>1.1781653155592302</v>
      </c>
      <c r="K52" s="10"/>
      <c r="L52" s="7"/>
      <c r="M52" s="7"/>
      <c r="N52" s="7"/>
      <c r="O52" s="7"/>
      <c r="P52" s="7"/>
      <c r="Q52" s="7"/>
      <c r="R52" s="7"/>
      <c r="S52" s="7"/>
      <c r="T52" s="7"/>
      <c r="U52" s="17"/>
    </row>
    <row r="53" spans="1:21">
      <c r="A53" t="s">
        <v>47</v>
      </c>
      <c r="B53" s="10">
        <v>117.32201829389669</v>
      </c>
      <c r="C53" s="7">
        <v>19.458784618414938</v>
      </c>
      <c r="D53" s="7">
        <v>-3.5394384589005166E-7</v>
      </c>
      <c r="E53" s="7">
        <v>0</v>
      </c>
      <c r="F53" s="17">
        <f t="shared" si="1"/>
        <v>136.78080255836778</v>
      </c>
      <c r="K53" s="10">
        <v>19000</v>
      </c>
      <c r="L53" s="7">
        <v>0</v>
      </c>
      <c r="M53" s="7"/>
      <c r="N53" s="7">
        <v>13000</v>
      </c>
      <c r="O53" s="7">
        <v>0</v>
      </c>
      <c r="P53" s="7"/>
      <c r="Q53" s="7">
        <v>1200</v>
      </c>
      <c r="R53" s="7">
        <v>0</v>
      </c>
      <c r="S53" s="7"/>
      <c r="T53" s="7">
        <v>0</v>
      </c>
      <c r="U53" s="17">
        <v>0</v>
      </c>
    </row>
    <row r="54" spans="1:21">
      <c r="A54" t="s">
        <v>48</v>
      </c>
      <c r="B54" s="10">
        <v>1.5351744071182338E-2</v>
      </c>
      <c r="C54" s="7">
        <v>23.940201726916712</v>
      </c>
      <c r="D54" s="7">
        <v>0</v>
      </c>
      <c r="E54" s="7">
        <v>177.54822870902717</v>
      </c>
      <c r="F54" s="17">
        <f t="shared" si="1"/>
        <v>201.50378218001507</v>
      </c>
      <c r="K54" s="10">
        <v>100000</v>
      </c>
      <c r="L54" s="7">
        <v>50733</v>
      </c>
      <c r="M54" s="7"/>
      <c r="N54" s="7">
        <v>150000</v>
      </c>
      <c r="O54" s="7">
        <v>210019</v>
      </c>
      <c r="P54" s="7"/>
      <c r="Q54" s="7">
        <v>200000</v>
      </c>
      <c r="R54" s="7">
        <v>201730</v>
      </c>
      <c r="S54" s="7"/>
      <c r="T54" s="7">
        <v>4800000</v>
      </c>
      <c r="U54" s="17">
        <v>5000000</v>
      </c>
    </row>
    <row r="55" spans="1:21">
      <c r="A55" t="s">
        <v>49</v>
      </c>
      <c r="B55" s="10">
        <v>1.6231039201670683E-2</v>
      </c>
      <c r="C55" s="7">
        <v>1.057106111324174</v>
      </c>
      <c r="D55" s="7">
        <v>-1.0000365980451075E-2</v>
      </c>
      <c r="E55" s="7">
        <v>0</v>
      </c>
      <c r="F55" s="17">
        <f t="shared" si="1"/>
        <v>1.0633367845453936</v>
      </c>
      <c r="K55" s="10"/>
      <c r="L55" s="7"/>
      <c r="M55" s="7"/>
      <c r="N55" s="7"/>
      <c r="O55" s="7"/>
      <c r="P55" s="7"/>
      <c r="Q55" s="7"/>
      <c r="R55" s="7"/>
      <c r="S55" s="7"/>
      <c r="T55" s="7"/>
      <c r="U55" s="17"/>
    </row>
    <row r="56" spans="1:21">
      <c r="A56" t="s">
        <v>50</v>
      </c>
      <c r="B56" s="10">
        <v>29.10479585651774</v>
      </c>
      <c r="C56" s="7">
        <v>19.595173400652129</v>
      </c>
      <c r="D56" s="7">
        <v>-1.0000166188464381E-2</v>
      </c>
      <c r="E56" s="7">
        <v>0</v>
      </c>
      <c r="F56" s="17">
        <f t="shared" si="1"/>
        <v>48.689969090981407</v>
      </c>
      <c r="K56" s="10"/>
      <c r="L56" s="7"/>
      <c r="M56" s="7"/>
      <c r="N56" s="7"/>
      <c r="O56" s="7"/>
      <c r="P56" s="7"/>
      <c r="Q56" s="7"/>
      <c r="R56" s="7"/>
      <c r="S56" s="7"/>
      <c r="T56" s="7"/>
      <c r="U56" s="17"/>
    </row>
    <row r="57" spans="1:21">
      <c r="A57" t="s">
        <v>51</v>
      </c>
      <c r="B57" s="10">
        <v>3.2259720578480255E-3</v>
      </c>
      <c r="C57" s="7">
        <v>1.01485656827208</v>
      </c>
      <c r="D57" s="7">
        <v>-2.500296002469779E-6</v>
      </c>
      <c r="E57" s="7">
        <v>0</v>
      </c>
      <c r="F57" s="17">
        <f t="shared" si="1"/>
        <v>1.0180800400339256</v>
      </c>
      <c r="K57" s="10"/>
      <c r="L57" s="7"/>
      <c r="M57" s="7"/>
      <c r="N57" s="7"/>
      <c r="O57" s="7"/>
      <c r="P57" s="7"/>
      <c r="Q57" s="7"/>
      <c r="R57" s="7"/>
      <c r="S57" s="7"/>
      <c r="T57" s="7"/>
      <c r="U57" s="17"/>
    </row>
    <row r="58" spans="1:21">
      <c r="A58" t="s">
        <v>52</v>
      </c>
      <c r="B58" s="10">
        <v>0</v>
      </c>
      <c r="C58" s="7">
        <v>0</v>
      </c>
      <c r="D58" s="7">
        <v>-1.6425887707380758E-2</v>
      </c>
      <c r="E58" s="7">
        <v>0</v>
      </c>
      <c r="F58" s="17">
        <f t="shared" si="1"/>
        <v>-1.6425887707380758E-2</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1008.1316624686283</v>
      </c>
      <c r="C60" s="7">
        <f>SUM(C6:C58)</f>
        <v>2455.537264794204</v>
      </c>
      <c r="D60" s="7">
        <f>SUM(D6:D58)</f>
        <v>-1.3042544888107072E-2</v>
      </c>
      <c r="E60" s="7">
        <f>SUM(E6:E58)</f>
        <v>10353.721074253859</v>
      </c>
      <c r="F60" s="17">
        <f>SUM(F6:F58)</f>
        <v>13817.376958971805</v>
      </c>
      <c r="K60" s="10">
        <f>SUM(K6:K58)</f>
        <v>11306785</v>
      </c>
      <c r="L60" s="7">
        <f>SUM(L6:L58)</f>
        <v>10875478</v>
      </c>
      <c r="M60" s="7"/>
      <c r="N60" s="7">
        <f>SUM(N6:N58)</f>
        <v>44055596</v>
      </c>
      <c r="O60" s="7">
        <f>SUM(O6:O58)</f>
        <v>26201957.009999998</v>
      </c>
      <c r="P60" s="7"/>
      <c r="Q60" s="7">
        <f>SUM(Q6:Q58)</f>
        <v>895082</v>
      </c>
      <c r="R60" s="7">
        <f>SUM(R6:R58)</f>
        <v>960837</v>
      </c>
      <c r="S60" s="7"/>
      <c r="T60" s="7">
        <f>SUM(T6:T58)</f>
        <v>108553958</v>
      </c>
      <c r="U60" s="17">
        <f>SUM(U6:U58)</f>
        <v>71103888.789999992</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Italic"Confederation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813581.04370297468</v>
      </c>
      <c r="C6" s="7">
        <v>150895.20386665015</v>
      </c>
      <c r="D6" s="7">
        <v>15291.864782490862</v>
      </c>
      <c r="E6" s="7">
        <v>0</v>
      </c>
      <c r="F6" s="17">
        <f t="shared" ref="F6:F37" si="0">SUM(B6:E6)</f>
        <v>979768.11235211568</v>
      </c>
      <c r="K6" s="10">
        <v>2000000</v>
      </c>
      <c r="L6" s="7">
        <v>0</v>
      </c>
      <c r="M6" s="7"/>
      <c r="N6" s="7">
        <v>1401485</v>
      </c>
      <c r="O6" s="7">
        <v>0</v>
      </c>
      <c r="P6" s="7"/>
      <c r="Q6" s="7">
        <v>120000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29134211.304266348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68033.15746035261</v>
      </c>
      <c r="C15" s="7">
        <v>0</v>
      </c>
      <c r="D15" s="7">
        <v>243.40382013016483</v>
      </c>
      <c r="E15" s="7">
        <v>0</v>
      </c>
      <c r="F15" s="17">
        <f t="shared" si="0"/>
        <v>68276.561280482769</v>
      </c>
      <c r="H15" s="4" t="s">
        <v>69</v>
      </c>
      <c r="I15" s="14">
        <v>469562.79666666687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1467944.8923093551</v>
      </c>
      <c r="C19" s="7">
        <v>0</v>
      </c>
      <c r="D19" s="7">
        <v>0</v>
      </c>
      <c r="E19" s="7">
        <v>0</v>
      </c>
      <c r="F19" s="17">
        <f t="shared" si="0"/>
        <v>1467944.8923093551</v>
      </c>
      <c r="H19" s="4" t="s">
        <v>72</v>
      </c>
      <c r="I19" s="14">
        <v>17500000</v>
      </c>
      <c r="K19" s="10">
        <v>2000000</v>
      </c>
      <c r="L19" s="7">
        <v>685800</v>
      </c>
      <c r="M19" s="7"/>
      <c r="N19" s="7">
        <v>0</v>
      </c>
      <c r="O19" s="7">
        <v>0</v>
      </c>
      <c r="P19" s="7"/>
      <c r="Q19" s="7">
        <v>0</v>
      </c>
      <c r="R19" s="7">
        <v>0</v>
      </c>
      <c r="S19" s="7"/>
      <c r="T19" s="7">
        <v>0</v>
      </c>
      <c r="U19" s="17">
        <v>0</v>
      </c>
    </row>
    <row r="20" spans="1:21">
      <c r="A20" t="s">
        <v>14</v>
      </c>
      <c r="B20" s="10">
        <v>876935.29191462568</v>
      </c>
      <c r="C20" s="7">
        <v>0</v>
      </c>
      <c r="D20" s="7">
        <v>155.58105375368834</v>
      </c>
      <c r="E20" s="7">
        <v>0</v>
      </c>
      <c r="F20" s="17">
        <f t="shared" si="0"/>
        <v>877090.87296837941</v>
      </c>
      <c r="H20" s="4" t="s">
        <v>73</v>
      </c>
      <c r="I20" s="14">
        <v>-2163321.5408549192</v>
      </c>
      <c r="K20" s="10">
        <v>997214</v>
      </c>
      <c r="L20" s="7">
        <v>0</v>
      </c>
      <c r="M20" s="7"/>
      <c r="N20" s="7">
        <v>0</v>
      </c>
      <c r="O20" s="7">
        <v>0</v>
      </c>
      <c r="P20" s="7"/>
      <c r="Q20" s="7">
        <v>0</v>
      </c>
      <c r="R20" s="7">
        <v>0</v>
      </c>
      <c r="S20" s="7"/>
      <c r="T20" s="7">
        <v>0</v>
      </c>
      <c r="U20" s="17">
        <v>0</v>
      </c>
    </row>
    <row r="21" spans="1:21">
      <c r="A21" t="s">
        <v>15</v>
      </c>
      <c r="B21" s="10">
        <v>61415.364829931292</v>
      </c>
      <c r="C21" s="7">
        <v>0</v>
      </c>
      <c r="D21" s="7">
        <v>16.094876129267863</v>
      </c>
      <c r="E21" s="7">
        <v>0</v>
      </c>
      <c r="F21" s="17">
        <f t="shared" si="0"/>
        <v>61431.459706060559</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3921282.7999930605</v>
      </c>
      <c r="K22" s="10"/>
      <c r="L22" s="7"/>
      <c r="M22" s="7"/>
      <c r="N22" s="7"/>
      <c r="O22" s="7"/>
      <c r="P22" s="7"/>
      <c r="Q22" s="7"/>
      <c r="R22" s="7"/>
      <c r="S22" s="7"/>
      <c r="T22" s="7"/>
      <c r="U22" s="17"/>
    </row>
    <row r="23" spans="1:21">
      <c r="A23" t="s">
        <v>17</v>
      </c>
      <c r="B23" s="10">
        <v>1208341.8272031334</v>
      </c>
      <c r="C23" s="7">
        <v>0</v>
      </c>
      <c r="D23" s="7">
        <v>1352.2490272543525</v>
      </c>
      <c r="E23" s="7">
        <v>0</v>
      </c>
      <c r="F23" s="17">
        <f t="shared" si="0"/>
        <v>1209694.0762303877</v>
      </c>
      <c r="H23" s="4" t="s">
        <v>76</v>
      </c>
      <c r="I23" s="14"/>
      <c r="K23" s="10">
        <v>1404695</v>
      </c>
      <c r="L23" s="7">
        <v>355472</v>
      </c>
      <c r="M23" s="7"/>
      <c r="N23" s="7">
        <v>0</v>
      </c>
      <c r="O23" s="7">
        <v>0</v>
      </c>
      <c r="P23" s="7"/>
      <c r="Q23" s="7">
        <v>0</v>
      </c>
      <c r="R23" s="7">
        <v>0</v>
      </c>
      <c r="S23" s="7"/>
      <c r="T23" s="7">
        <v>0</v>
      </c>
      <c r="U23" s="17">
        <v>0</v>
      </c>
    </row>
    <row r="24" spans="1:21">
      <c r="A24" t="s">
        <v>18</v>
      </c>
      <c r="B24" s="10">
        <v>415099.47722432343</v>
      </c>
      <c r="C24" s="7">
        <v>0</v>
      </c>
      <c r="D24" s="7">
        <v>573.42707649707734</v>
      </c>
      <c r="E24" s="7">
        <v>0</v>
      </c>
      <c r="F24" s="17">
        <f t="shared" si="0"/>
        <v>415672.90430082049</v>
      </c>
      <c r="H24" s="4" t="s">
        <v>77</v>
      </c>
      <c r="I24" s="14">
        <v>1492897.0000000002</v>
      </c>
      <c r="K24" s="10">
        <v>570000</v>
      </c>
      <c r="L24" s="7">
        <v>0</v>
      </c>
      <c r="M24" s="7"/>
      <c r="N24" s="7">
        <v>0</v>
      </c>
      <c r="O24" s="7">
        <v>0</v>
      </c>
      <c r="P24" s="7"/>
      <c r="Q24" s="7">
        <v>2000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8852915.8417948745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8852915.8417948708</v>
      </c>
      <c r="K27" s="10"/>
      <c r="L27" s="7"/>
      <c r="M27" s="7"/>
      <c r="N27" s="7"/>
      <c r="O27" s="7"/>
      <c r="P27" s="7"/>
      <c r="Q27" s="7"/>
      <c r="R27" s="7"/>
      <c r="S27" s="7"/>
      <c r="T27" s="7"/>
      <c r="U27" s="17"/>
    </row>
    <row r="28" spans="1:21">
      <c r="A28" t="s">
        <v>22</v>
      </c>
      <c r="B28" s="10">
        <v>90393.067644555194</v>
      </c>
      <c r="C28" s="7">
        <v>0</v>
      </c>
      <c r="D28" s="7">
        <v>690.60461328185875</v>
      </c>
      <c r="E28" s="7">
        <v>0</v>
      </c>
      <c r="F28" s="17">
        <f t="shared" si="0"/>
        <v>91083.672257837054</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22053.671682334778</v>
      </c>
      <c r="C30" s="7">
        <v>0</v>
      </c>
      <c r="D30" s="7">
        <v>6124.7658646948166</v>
      </c>
      <c r="E30" s="7">
        <v>0</v>
      </c>
      <c r="F30" s="17">
        <f t="shared" si="0"/>
        <v>28178.437547029593</v>
      </c>
      <c r="K30" s="10"/>
      <c r="L30" s="7"/>
      <c r="M30" s="7"/>
      <c r="N30" s="7"/>
      <c r="O30" s="7"/>
      <c r="P30" s="7"/>
      <c r="Q30" s="7"/>
      <c r="R30" s="7"/>
      <c r="S30" s="7"/>
      <c r="T30" s="7"/>
      <c r="U30" s="17"/>
    </row>
    <row r="31" spans="1:21">
      <c r="A31" t="s">
        <v>25</v>
      </c>
      <c r="B31" s="10">
        <v>139615.14377190315</v>
      </c>
      <c r="C31" s="7">
        <v>0</v>
      </c>
      <c r="D31" s="7">
        <v>0</v>
      </c>
      <c r="E31" s="7">
        <v>0</v>
      </c>
      <c r="F31" s="17">
        <f t="shared" si="0"/>
        <v>139615.14377190315</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822416.03893224034</v>
      </c>
      <c r="C41" s="7">
        <v>0</v>
      </c>
      <c r="D41" s="7">
        <v>16.093984878242175</v>
      </c>
      <c r="E41" s="7">
        <v>0</v>
      </c>
      <c r="F41" s="17">
        <f t="shared" si="1"/>
        <v>822432.13291711861</v>
      </c>
      <c r="K41" s="10">
        <v>1000000</v>
      </c>
      <c r="L41" s="7">
        <v>0</v>
      </c>
      <c r="M41" s="7"/>
      <c r="N41" s="7">
        <v>0</v>
      </c>
      <c r="O41" s="7">
        <v>0</v>
      </c>
      <c r="P41" s="7"/>
      <c r="Q41" s="7">
        <v>0</v>
      </c>
      <c r="R41" s="7">
        <v>0</v>
      </c>
      <c r="S41" s="7"/>
      <c r="T41" s="7">
        <v>0</v>
      </c>
      <c r="U41" s="17">
        <v>0</v>
      </c>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101.42008946466534</v>
      </c>
      <c r="C54" s="7">
        <v>0</v>
      </c>
      <c r="D54" s="7">
        <v>0</v>
      </c>
      <c r="E54" s="7">
        <v>0</v>
      </c>
      <c r="F54" s="17">
        <f t="shared" si="1"/>
        <v>101.42008946466534</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2691626.1560639171</v>
      </c>
      <c r="C56" s="7">
        <v>0</v>
      </c>
      <c r="D56" s="7">
        <v>0</v>
      </c>
      <c r="E56" s="7">
        <v>0</v>
      </c>
      <c r="F56" s="17">
        <f t="shared" si="1"/>
        <v>2691626.1560639171</v>
      </c>
      <c r="K56" s="10">
        <v>3300000</v>
      </c>
      <c r="L56" s="7">
        <v>0</v>
      </c>
      <c r="M56" s="7"/>
      <c r="N56" s="7">
        <v>0</v>
      </c>
      <c r="O56" s="7">
        <v>0</v>
      </c>
      <c r="P56" s="7"/>
      <c r="Q56" s="7">
        <v>0</v>
      </c>
      <c r="R56" s="7">
        <v>0</v>
      </c>
      <c r="S56" s="7"/>
      <c r="T56" s="7">
        <v>0</v>
      </c>
      <c r="U56" s="17">
        <v>0</v>
      </c>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8677556.5528291129</v>
      </c>
      <c r="C60" s="7">
        <f>SUM(C6:C58)</f>
        <v>150895.20386665015</v>
      </c>
      <c r="D60" s="7">
        <f>SUM(D6:D58)</f>
        <v>24464.085099110336</v>
      </c>
      <c r="E60" s="7">
        <f>SUM(E6:E58)</f>
        <v>0</v>
      </c>
      <c r="F60" s="17">
        <f>SUM(F6:F58)</f>
        <v>8852915.8417948708</v>
      </c>
      <c r="K60" s="10">
        <f>SUM(K6:K58)</f>
        <v>11271909</v>
      </c>
      <c r="L60" s="7">
        <f>SUM(L6:L58)</f>
        <v>1041272</v>
      </c>
      <c r="M60" s="7"/>
      <c r="N60" s="7">
        <f>SUM(N6:N58)</f>
        <v>1401485</v>
      </c>
      <c r="O60" s="7">
        <f>SUM(O6:O58)</f>
        <v>0</v>
      </c>
      <c r="P60" s="7"/>
      <c r="Q60" s="7">
        <f>SUM(Q6:Q58)</f>
        <v>122000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Italic"Consolidated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20154.27936662556</v>
      </c>
      <c r="E6" s="7">
        <v>0</v>
      </c>
      <c r="F6" s="17">
        <f t="shared" ref="F6:F37" si="0">SUM(B6:E6)</f>
        <v>20154.27936662556</v>
      </c>
      <c r="K6" s="10"/>
      <c r="L6" s="7"/>
      <c r="M6" s="7"/>
      <c r="N6" s="7"/>
      <c r="O6" s="7"/>
      <c r="P6" s="7"/>
      <c r="Q6" s="7"/>
      <c r="R6" s="7"/>
      <c r="S6" s="7"/>
      <c r="T6" s="7"/>
      <c r="U6" s="17"/>
    </row>
    <row r="7" spans="1:21">
      <c r="A7" t="s">
        <v>1</v>
      </c>
      <c r="B7" s="10">
        <v>0</v>
      </c>
      <c r="C7" s="7">
        <v>0</v>
      </c>
      <c r="D7" s="7">
        <v>6114.7627908959039</v>
      </c>
      <c r="E7" s="7">
        <v>0</v>
      </c>
      <c r="F7" s="17">
        <f t="shared" si="0"/>
        <v>6114.7627908959039</v>
      </c>
      <c r="H7" s="22"/>
      <c r="I7" s="24"/>
      <c r="K7" s="10">
        <v>0</v>
      </c>
      <c r="L7" s="7">
        <v>0</v>
      </c>
      <c r="M7" s="7"/>
      <c r="N7" s="7">
        <v>0</v>
      </c>
      <c r="O7" s="7">
        <v>0</v>
      </c>
      <c r="P7" s="7"/>
      <c r="Q7" s="7">
        <v>125000</v>
      </c>
      <c r="R7" s="7">
        <v>0</v>
      </c>
      <c r="S7" s="7"/>
      <c r="T7" s="7">
        <v>0</v>
      </c>
      <c r="U7" s="17">
        <v>0</v>
      </c>
    </row>
    <row r="8" spans="1:21">
      <c r="A8" t="s">
        <v>2</v>
      </c>
      <c r="B8" s="10">
        <v>0</v>
      </c>
      <c r="C8" s="7">
        <v>0</v>
      </c>
      <c r="D8" s="7">
        <v>101932.0522571365</v>
      </c>
      <c r="E8" s="7">
        <v>0</v>
      </c>
      <c r="F8" s="17">
        <f t="shared" si="0"/>
        <v>101932.0522571365</v>
      </c>
      <c r="H8" s="4" t="s">
        <v>64</v>
      </c>
      <c r="I8" s="13"/>
      <c r="K8" s="10"/>
      <c r="L8" s="7"/>
      <c r="M8" s="7"/>
      <c r="N8" s="7"/>
      <c r="O8" s="7"/>
      <c r="P8" s="7"/>
      <c r="Q8" s="7"/>
      <c r="R8" s="7"/>
      <c r="S8" s="7"/>
      <c r="T8" s="7"/>
      <c r="U8" s="17"/>
    </row>
    <row r="9" spans="1:21">
      <c r="A9" t="s">
        <v>3</v>
      </c>
      <c r="B9" s="10">
        <v>0</v>
      </c>
      <c r="C9" s="7">
        <v>0</v>
      </c>
      <c r="D9" s="7">
        <v>856783.10481936811</v>
      </c>
      <c r="E9" s="7">
        <v>0</v>
      </c>
      <c r="F9" s="17">
        <f t="shared" si="0"/>
        <v>856783.10481936811</v>
      </c>
      <c r="H9" s="4"/>
      <c r="I9" s="13"/>
      <c r="K9" s="10">
        <v>0</v>
      </c>
      <c r="L9" s="7">
        <v>0</v>
      </c>
      <c r="M9" s="7"/>
      <c r="N9" s="7">
        <v>0</v>
      </c>
      <c r="O9" s="7">
        <v>0</v>
      </c>
      <c r="P9" s="7"/>
      <c r="Q9" s="7">
        <v>3308801</v>
      </c>
      <c r="R9" s="7">
        <v>0</v>
      </c>
      <c r="S9" s="7"/>
      <c r="T9" s="7">
        <v>0</v>
      </c>
      <c r="U9" s="17">
        <v>0</v>
      </c>
    </row>
    <row r="10" spans="1:21">
      <c r="A10" t="s">
        <v>4</v>
      </c>
      <c r="B10" s="10">
        <v>719.02110108801821</v>
      </c>
      <c r="C10" s="7">
        <v>0</v>
      </c>
      <c r="D10" s="7">
        <v>35575.050419578656</v>
      </c>
      <c r="E10" s="7">
        <v>0</v>
      </c>
      <c r="F10" s="17">
        <f t="shared" si="0"/>
        <v>36294.071520666672</v>
      </c>
      <c r="H10" s="4" t="s">
        <v>65</v>
      </c>
      <c r="I10" s="14">
        <v>44462791</v>
      </c>
      <c r="K10" s="10">
        <v>0</v>
      </c>
      <c r="L10" s="7">
        <v>0</v>
      </c>
      <c r="M10" s="7"/>
      <c r="N10" s="7">
        <v>0</v>
      </c>
      <c r="O10" s="7">
        <v>0</v>
      </c>
      <c r="P10" s="7"/>
      <c r="Q10" s="7">
        <v>300000</v>
      </c>
      <c r="R10" s="7">
        <v>100000</v>
      </c>
      <c r="S10" s="7"/>
      <c r="T10" s="7">
        <v>0</v>
      </c>
      <c r="U10" s="17">
        <v>0</v>
      </c>
    </row>
    <row r="11" spans="1:21">
      <c r="A11" t="s">
        <v>5</v>
      </c>
      <c r="B11" s="10">
        <v>0</v>
      </c>
      <c r="C11" s="7">
        <v>0</v>
      </c>
      <c r="D11" s="7">
        <v>757621.1467044499</v>
      </c>
      <c r="E11" s="7">
        <v>0</v>
      </c>
      <c r="F11" s="17">
        <f t="shared" si="0"/>
        <v>757621.1467044499</v>
      </c>
      <c r="H11" s="4"/>
      <c r="I11" s="14"/>
      <c r="K11" s="10">
        <v>0</v>
      </c>
      <c r="L11" s="7">
        <v>0</v>
      </c>
      <c r="M11" s="7"/>
      <c r="N11" s="7">
        <v>0</v>
      </c>
      <c r="O11" s="7">
        <v>0</v>
      </c>
      <c r="P11" s="7"/>
      <c r="Q11" s="7">
        <v>2000000</v>
      </c>
      <c r="R11" s="7">
        <v>653411</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2373.9966760001439</v>
      </c>
      <c r="C13" s="7">
        <v>0</v>
      </c>
      <c r="D13" s="7">
        <v>6618.2105557855903</v>
      </c>
      <c r="E13" s="7">
        <v>0</v>
      </c>
      <c r="F13" s="17">
        <f t="shared" si="0"/>
        <v>8992.2072317857346</v>
      </c>
      <c r="H13" s="4" t="s">
        <v>67</v>
      </c>
      <c r="I13" s="14">
        <v>44231475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12170199</v>
      </c>
      <c r="K14" s="10"/>
      <c r="L14" s="7"/>
      <c r="M14" s="7"/>
      <c r="N14" s="7"/>
      <c r="O14" s="7"/>
      <c r="P14" s="7"/>
      <c r="Q14" s="7"/>
      <c r="R14" s="7"/>
      <c r="S14" s="7"/>
      <c r="T14" s="7"/>
      <c r="U14" s="17"/>
    </row>
    <row r="15" spans="1:21">
      <c r="A15" t="s">
        <v>9</v>
      </c>
      <c r="B15" s="10">
        <v>26497.644636898774</v>
      </c>
      <c r="C15" s="7">
        <v>0</v>
      </c>
      <c r="D15" s="7">
        <v>-1310.7125774351298</v>
      </c>
      <c r="E15" s="7">
        <v>0</v>
      </c>
      <c r="F15" s="17">
        <f t="shared" si="0"/>
        <v>25186.932059463645</v>
      </c>
      <c r="H15" s="4" t="s">
        <v>69</v>
      </c>
      <c r="I15" s="14">
        <v>2531245.0899999994</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120900.15678865457</v>
      </c>
      <c r="E18" s="7">
        <v>0</v>
      </c>
      <c r="F18" s="17">
        <f t="shared" si="0"/>
        <v>120900.15678865457</v>
      </c>
      <c r="H18" s="4" t="s">
        <v>71</v>
      </c>
      <c r="I18" s="14"/>
      <c r="K18" s="10"/>
      <c r="L18" s="7"/>
      <c r="M18" s="7"/>
      <c r="N18" s="7"/>
      <c r="O18" s="7"/>
      <c r="P18" s="7"/>
      <c r="Q18" s="7"/>
      <c r="R18" s="7"/>
      <c r="S18" s="7"/>
      <c r="T18" s="7"/>
      <c r="U18" s="17"/>
    </row>
    <row r="19" spans="1:21">
      <c r="A19" t="s">
        <v>13</v>
      </c>
      <c r="B19" s="10">
        <v>1318.4586296146717</v>
      </c>
      <c r="C19" s="7">
        <v>0</v>
      </c>
      <c r="D19" s="7">
        <v>1990138.2468503499</v>
      </c>
      <c r="E19" s="7">
        <v>0</v>
      </c>
      <c r="F19" s="17">
        <f t="shared" si="0"/>
        <v>1991456.7054799646</v>
      </c>
      <c r="H19" s="4" t="s">
        <v>72</v>
      </c>
      <c r="I19" s="14">
        <v>0</v>
      </c>
      <c r="K19" s="10">
        <v>40000</v>
      </c>
      <c r="L19" s="7">
        <v>0</v>
      </c>
      <c r="M19" s="7"/>
      <c r="N19" s="7">
        <v>0</v>
      </c>
      <c r="O19" s="7">
        <v>0</v>
      </c>
      <c r="P19" s="7"/>
      <c r="Q19" s="7">
        <v>5000000</v>
      </c>
      <c r="R19" s="7">
        <v>1900000</v>
      </c>
      <c r="S19" s="7"/>
      <c r="T19" s="7">
        <v>0</v>
      </c>
      <c r="U19" s="17">
        <v>0</v>
      </c>
    </row>
    <row r="20" spans="1:21">
      <c r="A20" t="s">
        <v>14</v>
      </c>
      <c r="B20" s="10">
        <v>6298.9685700262862</v>
      </c>
      <c r="C20" s="7">
        <v>0</v>
      </c>
      <c r="D20" s="7">
        <v>787149.21726617636</v>
      </c>
      <c r="E20" s="7">
        <v>0</v>
      </c>
      <c r="F20" s="17">
        <f t="shared" si="0"/>
        <v>793448.1858362027</v>
      </c>
      <c r="H20" s="4" t="s">
        <v>73</v>
      </c>
      <c r="I20" s="14">
        <v>44387898</v>
      </c>
      <c r="K20" s="10">
        <v>0</v>
      </c>
      <c r="L20" s="7">
        <v>0</v>
      </c>
      <c r="M20" s="7"/>
      <c r="N20" s="7">
        <v>0</v>
      </c>
      <c r="O20" s="7">
        <v>0</v>
      </c>
      <c r="P20" s="7"/>
      <c r="Q20" s="7">
        <v>1999232</v>
      </c>
      <c r="R20" s="7">
        <v>0</v>
      </c>
      <c r="S20" s="7"/>
      <c r="T20" s="7">
        <v>0</v>
      </c>
      <c r="U20" s="17">
        <v>0</v>
      </c>
    </row>
    <row r="21" spans="1:21">
      <c r="A21" t="s">
        <v>15</v>
      </c>
      <c r="B21" s="10">
        <v>0</v>
      </c>
      <c r="C21" s="7">
        <v>0</v>
      </c>
      <c r="D21" s="7">
        <v>27919.569291768552</v>
      </c>
      <c r="E21" s="7">
        <v>0</v>
      </c>
      <c r="F21" s="17">
        <f t="shared" si="0"/>
        <v>27919.569291768552</v>
      </c>
      <c r="H21" s="4" t="s">
        <v>74</v>
      </c>
      <c r="I21" s="14"/>
      <c r="K21" s="10"/>
      <c r="L21" s="7"/>
      <c r="M21" s="7"/>
      <c r="N21" s="7"/>
      <c r="O21" s="7"/>
      <c r="P21" s="7"/>
      <c r="Q21" s="7"/>
      <c r="R21" s="7"/>
      <c r="S21" s="7"/>
      <c r="T21" s="7"/>
      <c r="U21" s="17"/>
    </row>
    <row r="22" spans="1:21">
      <c r="A22" t="s">
        <v>16</v>
      </c>
      <c r="B22" s="10">
        <v>0</v>
      </c>
      <c r="C22" s="7">
        <v>0</v>
      </c>
      <c r="D22" s="7">
        <v>100335.70751073866</v>
      </c>
      <c r="E22" s="7">
        <v>0</v>
      </c>
      <c r="F22" s="17">
        <f t="shared" si="0"/>
        <v>100335.70751073866</v>
      </c>
      <c r="H22" s="4" t="s">
        <v>75</v>
      </c>
      <c r="I22" s="14">
        <v>0</v>
      </c>
      <c r="K22" s="10"/>
      <c r="L22" s="7"/>
      <c r="M22" s="7"/>
      <c r="N22" s="7"/>
      <c r="O22" s="7"/>
      <c r="P22" s="7"/>
      <c r="Q22" s="7"/>
      <c r="R22" s="7"/>
      <c r="S22" s="7"/>
      <c r="T22" s="7"/>
      <c r="U22" s="17"/>
    </row>
    <row r="23" spans="1:21">
      <c r="A23" t="s">
        <v>17</v>
      </c>
      <c r="B23" s="10">
        <v>0</v>
      </c>
      <c r="C23" s="7">
        <v>0</v>
      </c>
      <c r="D23" s="7">
        <v>17254.94441006767</v>
      </c>
      <c r="E23" s="7">
        <v>0</v>
      </c>
      <c r="F23" s="17">
        <f t="shared" si="0"/>
        <v>17254.94441006767</v>
      </c>
      <c r="H23" s="4" t="s">
        <v>76</v>
      </c>
      <c r="I23" s="14"/>
      <c r="K23" s="10"/>
      <c r="L23" s="7"/>
      <c r="M23" s="7"/>
      <c r="N23" s="7"/>
      <c r="O23" s="7"/>
      <c r="P23" s="7"/>
      <c r="Q23" s="7"/>
      <c r="R23" s="7"/>
      <c r="S23" s="7"/>
      <c r="T23" s="7"/>
      <c r="U23" s="17"/>
    </row>
    <row r="24" spans="1:21">
      <c r="A24" t="s">
        <v>18</v>
      </c>
      <c r="B24" s="10">
        <v>0</v>
      </c>
      <c r="C24" s="7">
        <v>0</v>
      </c>
      <c r="D24" s="7">
        <v>658567.06092909002</v>
      </c>
      <c r="E24" s="7">
        <v>0</v>
      </c>
      <c r="F24" s="17">
        <f t="shared" si="0"/>
        <v>658567.06092909002</v>
      </c>
      <c r="H24" s="4" t="s">
        <v>77</v>
      </c>
      <c r="I24" s="14">
        <v>32575586.39536199</v>
      </c>
      <c r="K24" s="10">
        <v>39632</v>
      </c>
      <c r="L24" s="7">
        <v>0</v>
      </c>
      <c r="M24" s="7"/>
      <c r="N24" s="7">
        <v>0</v>
      </c>
      <c r="O24" s="7">
        <v>0</v>
      </c>
      <c r="P24" s="7"/>
      <c r="Q24" s="7">
        <v>1661368</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1916.089956056243</v>
      </c>
      <c r="E26" s="7">
        <v>0</v>
      </c>
      <c r="F26" s="17">
        <f t="shared" si="0"/>
        <v>1916.089956056243</v>
      </c>
      <c r="H26" s="4" t="s">
        <v>78</v>
      </c>
      <c r="I26" s="14">
        <f>SUM(I10:I16)-SUM(I19:I24)</f>
        <v>26432225.694638014</v>
      </c>
      <c r="K26" s="10"/>
      <c r="L26" s="7"/>
      <c r="M26" s="7"/>
      <c r="N26" s="7"/>
      <c r="O26" s="7"/>
      <c r="P26" s="7"/>
      <c r="Q26" s="7"/>
      <c r="R26" s="7"/>
      <c r="S26" s="7"/>
      <c r="T26" s="7"/>
      <c r="U26" s="17"/>
    </row>
    <row r="27" spans="1:21">
      <c r="A27" t="s">
        <v>21</v>
      </c>
      <c r="B27" s="10">
        <v>3608.5347337430767</v>
      </c>
      <c r="C27" s="7">
        <v>0</v>
      </c>
      <c r="D27" s="7">
        <v>1467814.6101472941</v>
      </c>
      <c r="E27" s="7">
        <v>0</v>
      </c>
      <c r="F27" s="17">
        <f t="shared" si="0"/>
        <v>1471423.1448810373</v>
      </c>
      <c r="H27" s="4" t="s">
        <v>79</v>
      </c>
      <c r="I27" s="14">
        <f>+F60</f>
        <v>26432225.694638014</v>
      </c>
      <c r="K27" s="10">
        <v>0</v>
      </c>
      <c r="L27" s="7">
        <v>0</v>
      </c>
      <c r="M27" s="7"/>
      <c r="N27" s="7">
        <v>0</v>
      </c>
      <c r="O27" s="7">
        <v>0</v>
      </c>
      <c r="P27" s="7"/>
      <c r="Q27" s="7">
        <v>5000000</v>
      </c>
      <c r="R27" s="7">
        <v>1400000</v>
      </c>
      <c r="S27" s="7"/>
      <c r="T27" s="7">
        <v>0</v>
      </c>
      <c r="U27" s="17">
        <v>0</v>
      </c>
    </row>
    <row r="28" spans="1:21">
      <c r="A28" t="s">
        <v>22</v>
      </c>
      <c r="B28" s="10">
        <v>8297.159962840502</v>
      </c>
      <c r="C28" s="7">
        <v>0</v>
      </c>
      <c r="D28" s="7">
        <v>7898.6274751419369</v>
      </c>
      <c r="E28" s="7">
        <v>0</v>
      </c>
      <c r="F28" s="17">
        <f t="shared" si="0"/>
        <v>16195.787437982439</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4488570.7205687705</v>
      </c>
      <c r="E30" s="7">
        <v>0</v>
      </c>
      <c r="F30" s="17">
        <f t="shared" si="0"/>
        <v>4488570.7205687705</v>
      </c>
      <c r="K30" s="10">
        <v>0</v>
      </c>
      <c r="L30" s="7">
        <v>0</v>
      </c>
      <c r="M30" s="7"/>
      <c r="N30" s="7">
        <v>0</v>
      </c>
      <c r="O30" s="7">
        <v>0</v>
      </c>
      <c r="P30" s="7"/>
      <c r="Q30" s="7">
        <v>14999989</v>
      </c>
      <c r="R30" s="7">
        <v>0</v>
      </c>
      <c r="S30" s="7"/>
      <c r="T30" s="7">
        <v>0</v>
      </c>
      <c r="U30" s="17">
        <v>0</v>
      </c>
    </row>
    <row r="31" spans="1:21">
      <c r="A31" t="s">
        <v>25</v>
      </c>
      <c r="B31" s="10">
        <v>0</v>
      </c>
      <c r="C31" s="7">
        <v>0</v>
      </c>
      <c r="D31" s="7">
        <v>450214.63622166042</v>
      </c>
      <c r="E31" s="7">
        <v>0</v>
      </c>
      <c r="F31" s="17">
        <f t="shared" si="0"/>
        <v>450214.63622166042</v>
      </c>
      <c r="K31" s="10"/>
      <c r="L31" s="7"/>
      <c r="M31" s="7"/>
      <c r="N31" s="7"/>
      <c r="O31" s="7"/>
      <c r="P31" s="7"/>
      <c r="Q31" s="7"/>
      <c r="R31" s="7"/>
      <c r="S31" s="7"/>
      <c r="T31" s="7"/>
      <c r="U31" s="17"/>
    </row>
    <row r="32" spans="1:21">
      <c r="A32" t="s">
        <v>26</v>
      </c>
      <c r="B32" s="10">
        <v>259.97527275157097</v>
      </c>
      <c r="C32" s="7">
        <v>0</v>
      </c>
      <c r="D32" s="7">
        <v>372342.46613135817</v>
      </c>
      <c r="E32" s="7">
        <v>0</v>
      </c>
      <c r="F32" s="17">
        <f t="shared" si="0"/>
        <v>372602.44140410976</v>
      </c>
      <c r="K32" s="10">
        <v>0</v>
      </c>
      <c r="L32" s="7">
        <v>0</v>
      </c>
      <c r="M32" s="7"/>
      <c r="N32" s="7">
        <v>0</v>
      </c>
      <c r="O32" s="7">
        <v>0</v>
      </c>
      <c r="P32" s="7"/>
      <c r="Q32" s="7">
        <v>850000</v>
      </c>
      <c r="R32" s="7">
        <v>0</v>
      </c>
      <c r="S32" s="7"/>
      <c r="T32" s="7">
        <v>0</v>
      </c>
      <c r="U32" s="17">
        <v>0</v>
      </c>
    </row>
    <row r="33" spans="1:21">
      <c r="A33" t="s">
        <v>27</v>
      </c>
      <c r="B33" s="10">
        <v>0</v>
      </c>
      <c r="C33" s="7">
        <v>0</v>
      </c>
      <c r="D33" s="7">
        <v>512007.38052429911</v>
      </c>
      <c r="E33" s="7">
        <v>0</v>
      </c>
      <c r="F33" s="17">
        <f t="shared" si="0"/>
        <v>512007.38052429911</v>
      </c>
      <c r="K33" s="10"/>
      <c r="L33" s="7"/>
      <c r="M33" s="7"/>
      <c r="N33" s="7"/>
      <c r="O33" s="7"/>
      <c r="P33" s="7"/>
      <c r="Q33" s="7"/>
      <c r="R33" s="7"/>
      <c r="S33" s="7"/>
      <c r="T33" s="7"/>
      <c r="U33" s="17"/>
    </row>
    <row r="34" spans="1:21">
      <c r="A34" t="s">
        <v>28</v>
      </c>
      <c r="B34" s="10">
        <v>0</v>
      </c>
      <c r="C34" s="7">
        <v>0</v>
      </c>
      <c r="D34" s="7">
        <v>2430.6980746165591</v>
      </c>
      <c r="E34" s="7">
        <v>0</v>
      </c>
      <c r="F34" s="17">
        <f t="shared" si="0"/>
        <v>2430.6980746165591</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52276.703776246432</v>
      </c>
      <c r="E37" s="7">
        <v>0</v>
      </c>
      <c r="F37" s="17">
        <f t="shared" si="0"/>
        <v>52276.703776246432</v>
      </c>
      <c r="K37" s="10">
        <v>0</v>
      </c>
      <c r="L37" s="7">
        <v>0</v>
      </c>
      <c r="M37" s="7"/>
      <c r="N37" s="7">
        <v>0</v>
      </c>
      <c r="O37" s="7">
        <v>0</v>
      </c>
      <c r="P37" s="7"/>
      <c r="Q37" s="7">
        <v>99821</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22.679908011213229</v>
      </c>
      <c r="E40" s="7">
        <v>0</v>
      </c>
      <c r="F40" s="17">
        <f t="shared" si="1"/>
        <v>22.679908011213229</v>
      </c>
      <c r="K40" s="10"/>
      <c r="L40" s="7"/>
      <c r="M40" s="7"/>
      <c r="N40" s="7"/>
      <c r="O40" s="7"/>
      <c r="P40" s="7"/>
      <c r="Q40" s="7"/>
      <c r="R40" s="7"/>
      <c r="S40" s="7"/>
      <c r="T40" s="7"/>
      <c r="U40" s="17"/>
    </row>
    <row r="41" spans="1:21">
      <c r="A41" t="s">
        <v>35</v>
      </c>
      <c r="B41" s="10">
        <v>17042.207459627516</v>
      </c>
      <c r="C41" s="7">
        <v>0</v>
      </c>
      <c r="D41" s="7">
        <v>1953027.738508577</v>
      </c>
      <c r="E41" s="7">
        <v>0</v>
      </c>
      <c r="F41" s="17">
        <f t="shared" si="1"/>
        <v>1970069.9459682044</v>
      </c>
      <c r="K41" s="10"/>
      <c r="L41" s="7"/>
      <c r="M41" s="7"/>
      <c r="N41" s="7"/>
      <c r="O41" s="7"/>
      <c r="P41" s="7"/>
      <c r="Q41" s="7"/>
      <c r="R41" s="7"/>
      <c r="S41" s="7"/>
      <c r="T41" s="7"/>
      <c r="U41" s="17"/>
    </row>
    <row r="42" spans="1:21">
      <c r="A42" t="s">
        <v>36</v>
      </c>
      <c r="B42" s="10">
        <v>1874.2681742049415</v>
      </c>
      <c r="C42" s="7">
        <v>0</v>
      </c>
      <c r="D42" s="7">
        <v>1851250.6388845644</v>
      </c>
      <c r="E42" s="7">
        <v>0</v>
      </c>
      <c r="F42" s="17">
        <f t="shared" si="1"/>
        <v>1853124.9070587694</v>
      </c>
      <c r="K42" s="10">
        <v>43500</v>
      </c>
      <c r="L42" s="7">
        <v>4500</v>
      </c>
      <c r="M42" s="7"/>
      <c r="N42" s="7">
        <v>0</v>
      </c>
      <c r="O42" s="7">
        <v>0</v>
      </c>
      <c r="P42" s="7"/>
      <c r="Q42" s="7">
        <v>4306500</v>
      </c>
      <c r="R42" s="7">
        <v>1830500</v>
      </c>
      <c r="S42" s="7"/>
      <c r="T42" s="7">
        <v>0</v>
      </c>
      <c r="U42" s="17">
        <v>0</v>
      </c>
    </row>
    <row r="43" spans="1:21">
      <c r="A43" t="s">
        <v>37</v>
      </c>
      <c r="B43" s="10">
        <v>0</v>
      </c>
      <c r="C43" s="7">
        <v>0</v>
      </c>
      <c r="D43" s="7">
        <v>42760.321569806634</v>
      </c>
      <c r="E43" s="7">
        <v>0</v>
      </c>
      <c r="F43" s="17">
        <f t="shared" si="1"/>
        <v>42760.321569806634</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1601.9911780081809</v>
      </c>
      <c r="C47" s="7">
        <v>0</v>
      </c>
      <c r="D47" s="7">
        <v>701.24097703886218</v>
      </c>
      <c r="E47" s="7">
        <v>0</v>
      </c>
      <c r="F47" s="17">
        <f t="shared" si="1"/>
        <v>2303.2321550470433</v>
      </c>
      <c r="K47" s="10"/>
      <c r="L47" s="7"/>
      <c r="M47" s="7"/>
      <c r="N47" s="7"/>
      <c r="O47" s="7"/>
      <c r="P47" s="7"/>
      <c r="Q47" s="7"/>
      <c r="R47" s="7"/>
      <c r="S47" s="7"/>
      <c r="T47" s="7"/>
      <c r="U47" s="17"/>
    </row>
    <row r="48" spans="1:21">
      <c r="A48" t="s">
        <v>42</v>
      </c>
      <c r="B48" s="10">
        <v>0</v>
      </c>
      <c r="C48" s="7">
        <v>0</v>
      </c>
      <c r="D48" s="7">
        <v>36854.122750482522</v>
      </c>
      <c r="E48" s="7">
        <v>0</v>
      </c>
      <c r="F48" s="17">
        <f t="shared" si="1"/>
        <v>36854.122750482522</v>
      </c>
      <c r="K48" s="10"/>
      <c r="L48" s="7"/>
      <c r="M48" s="7"/>
      <c r="N48" s="7"/>
      <c r="O48" s="7"/>
      <c r="P48" s="7"/>
      <c r="Q48" s="7"/>
      <c r="R48" s="7"/>
      <c r="S48" s="7"/>
      <c r="T48" s="7"/>
      <c r="U48" s="17"/>
    </row>
    <row r="49" spans="1:21">
      <c r="A49" t="s">
        <v>43</v>
      </c>
      <c r="B49" s="10">
        <v>0</v>
      </c>
      <c r="C49" s="7">
        <v>0</v>
      </c>
      <c r="D49" s="7">
        <v>1687251.5366380806</v>
      </c>
      <c r="E49" s="7">
        <v>0</v>
      </c>
      <c r="F49" s="17">
        <f t="shared" si="1"/>
        <v>1687251.5366380806</v>
      </c>
      <c r="K49" s="10">
        <v>0</v>
      </c>
      <c r="L49" s="7">
        <v>0</v>
      </c>
      <c r="M49" s="7"/>
      <c r="N49" s="7">
        <v>0</v>
      </c>
      <c r="O49" s="7">
        <v>0</v>
      </c>
      <c r="P49" s="7"/>
      <c r="Q49" s="7">
        <v>3600000</v>
      </c>
      <c r="R49" s="7">
        <v>0</v>
      </c>
      <c r="S49" s="7"/>
      <c r="T49" s="7">
        <v>0</v>
      </c>
      <c r="U49" s="17">
        <v>0</v>
      </c>
    </row>
    <row r="50" spans="1:21">
      <c r="A50" t="s">
        <v>44</v>
      </c>
      <c r="B50" s="10">
        <v>3770.2877941862912</v>
      </c>
      <c r="C50" s="7">
        <v>0</v>
      </c>
      <c r="D50" s="7">
        <v>6777788.2928338014</v>
      </c>
      <c r="E50" s="7">
        <v>0</v>
      </c>
      <c r="F50" s="17">
        <f t="shared" si="1"/>
        <v>6781558.5806279881</v>
      </c>
      <c r="K50" s="10">
        <v>130011</v>
      </c>
      <c r="L50" s="7">
        <v>0</v>
      </c>
      <c r="M50" s="7"/>
      <c r="N50" s="7">
        <v>0</v>
      </c>
      <c r="O50" s="7">
        <v>0</v>
      </c>
      <c r="P50" s="7"/>
      <c r="Q50" s="7">
        <v>12871063</v>
      </c>
      <c r="R50" s="7">
        <v>0</v>
      </c>
      <c r="S50" s="7"/>
      <c r="T50" s="7">
        <v>0</v>
      </c>
      <c r="U50" s="17">
        <v>0</v>
      </c>
    </row>
    <row r="51" spans="1:21">
      <c r="A51" t="s">
        <v>45</v>
      </c>
      <c r="B51" s="10">
        <v>0</v>
      </c>
      <c r="C51" s="7">
        <v>0</v>
      </c>
      <c r="D51" s="7">
        <v>185.35753085718534</v>
      </c>
      <c r="E51" s="7">
        <v>0</v>
      </c>
      <c r="F51" s="17">
        <f t="shared" si="1"/>
        <v>185.35753085718534</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345530.30229500623</v>
      </c>
      <c r="E53" s="7">
        <v>0</v>
      </c>
      <c r="F53" s="17">
        <f t="shared" si="1"/>
        <v>345530.30229500623</v>
      </c>
      <c r="K53" s="10">
        <v>0</v>
      </c>
      <c r="L53" s="7">
        <v>0</v>
      </c>
      <c r="M53" s="7"/>
      <c r="N53" s="7">
        <v>0</v>
      </c>
      <c r="O53" s="7">
        <v>0</v>
      </c>
      <c r="P53" s="7"/>
      <c r="Q53" s="7">
        <v>500000</v>
      </c>
      <c r="R53" s="7">
        <v>0</v>
      </c>
      <c r="S53" s="7"/>
      <c r="T53" s="7">
        <v>0</v>
      </c>
      <c r="U53" s="17">
        <v>0</v>
      </c>
    </row>
    <row r="54" spans="1:21">
      <c r="A54" t="s">
        <v>48</v>
      </c>
      <c r="B54" s="10">
        <v>787.4346663241264</v>
      </c>
      <c r="C54" s="7">
        <v>0</v>
      </c>
      <c r="D54" s="7">
        <v>590304.79003105836</v>
      </c>
      <c r="E54" s="7">
        <v>0</v>
      </c>
      <c r="F54" s="17">
        <f t="shared" si="1"/>
        <v>591092.22469738254</v>
      </c>
      <c r="K54" s="10">
        <v>0</v>
      </c>
      <c r="L54" s="7">
        <v>0</v>
      </c>
      <c r="M54" s="7"/>
      <c r="N54" s="7">
        <v>0</v>
      </c>
      <c r="O54" s="7">
        <v>0</v>
      </c>
      <c r="P54" s="7"/>
      <c r="Q54" s="7">
        <v>1800000</v>
      </c>
      <c r="R54" s="7">
        <v>0</v>
      </c>
      <c r="S54" s="7"/>
      <c r="T54" s="7">
        <v>0</v>
      </c>
      <c r="U54" s="17">
        <v>0</v>
      </c>
    </row>
    <row r="55" spans="1:21">
      <c r="A55" t="s">
        <v>49</v>
      </c>
      <c r="B55" s="10">
        <v>0</v>
      </c>
      <c r="C55" s="7">
        <v>0</v>
      </c>
      <c r="D55" s="7">
        <v>92524.493371730612</v>
      </c>
      <c r="E55" s="7">
        <v>0</v>
      </c>
      <c r="F55" s="17">
        <f t="shared" si="1"/>
        <v>92524.493371730612</v>
      </c>
      <c r="K55" s="10">
        <v>0</v>
      </c>
      <c r="L55" s="7">
        <v>0</v>
      </c>
      <c r="M55" s="7"/>
      <c r="N55" s="7">
        <v>0</v>
      </c>
      <c r="O55" s="7">
        <v>0</v>
      </c>
      <c r="P55" s="7"/>
      <c r="Q55" s="7">
        <v>0</v>
      </c>
      <c r="R55" s="7">
        <v>0</v>
      </c>
      <c r="S55" s="7"/>
      <c r="T55" s="7">
        <v>0</v>
      </c>
      <c r="U55" s="17">
        <v>0</v>
      </c>
    </row>
    <row r="56" spans="1:21">
      <c r="A56" t="s">
        <v>50</v>
      </c>
      <c r="B56" s="10">
        <v>5085.4295713634892</v>
      </c>
      <c r="C56" s="7">
        <v>0</v>
      </c>
      <c r="D56" s="7">
        <v>24817.889651617996</v>
      </c>
      <c r="E56" s="7">
        <v>0</v>
      </c>
      <c r="F56" s="17">
        <f t="shared" si="1"/>
        <v>29903.319222981485</v>
      </c>
      <c r="K56" s="10"/>
      <c r="L56" s="7"/>
      <c r="M56" s="7"/>
      <c r="N56" s="7"/>
      <c r="O56" s="7"/>
      <c r="P56" s="7"/>
      <c r="Q56" s="7"/>
      <c r="R56" s="7"/>
      <c r="S56" s="7"/>
      <c r="T56" s="7"/>
      <c r="U56" s="17"/>
    </row>
    <row r="57" spans="1:21">
      <c r="A57" t="s">
        <v>51</v>
      </c>
      <c r="B57" s="10">
        <v>0</v>
      </c>
      <c r="C57" s="7">
        <v>0</v>
      </c>
      <c r="D57" s="7">
        <v>108446.18100200617</v>
      </c>
      <c r="E57" s="7">
        <v>0</v>
      </c>
      <c r="F57" s="17">
        <f t="shared" si="1"/>
        <v>108446.18100200617</v>
      </c>
      <c r="K57" s="10">
        <v>0</v>
      </c>
      <c r="L57" s="7">
        <v>0</v>
      </c>
      <c r="M57" s="7"/>
      <c r="N57" s="7">
        <v>0</v>
      </c>
      <c r="O57" s="7">
        <v>0</v>
      </c>
      <c r="P57" s="7"/>
      <c r="Q57" s="7">
        <v>350000</v>
      </c>
      <c r="R57" s="7">
        <v>336606</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79535.378426677606</v>
      </c>
      <c r="C60" s="7">
        <f>SUM(C6:C58)</f>
        <v>0</v>
      </c>
      <c r="D60" s="7">
        <f>SUM(D6:D58)</f>
        <v>26352690.316211332</v>
      </c>
      <c r="E60" s="7">
        <f>SUM(E6:E58)</f>
        <v>0</v>
      </c>
      <c r="F60" s="17">
        <f>SUM(F6:F58)</f>
        <v>26432225.694638014</v>
      </c>
      <c r="K60" s="10">
        <f>SUM(K6:K58)</f>
        <v>253143</v>
      </c>
      <c r="L60" s="7">
        <f>SUM(L6:L58)</f>
        <v>4500</v>
      </c>
      <c r="M60" s="7"/>
      <c r="N60" s="7">
        <f>SUM(N6:N58)</f>
        <v>0</v>
      </c>
      <c r="O60" s="7">
        <f>SUM(O6:O58)</f>
        <v>0</v>
      </c>
      <c r="P60" s="7"/>
      <c r="Q60" s="7">
        <f>SUM(Q6:Q58)</f>
        <v>58771774</v>
      </c>
      <c r="R60" s="7">
        <f>SUM(R6:R58)</f>
        <v>6220517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Chambers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10750.561717135331</v>
      </c>
      <c r="C6" s="7">
        <v>40470.56399697232</v>
      </c>
      <c r="D6" s="7">
        <v>0</v>
      </c>
      <c r="E6" s="7">
        <v>0</v>
      </c>
      <c r="F6" s="17">
        <f t="shared" ref="F6:F37" si="0">SUM(B6:E6)</f>
        <v>51221.125714107649</v>
      </c>
      <c r="K6" s="10">
        <v>41000</v>
      </c>
      <c r="L6" s="7">
        <v>0</v>
      </c>
      <c r="M6" s="7"/>
      <c r="N6" s="7">
        <v>16288</v>
      </c>
      <c r="O6" s="7">
        <v>0</v>
      </c>
      <c r="P6" s="7"/>
      <c r="Q6" s="7">
        <v>4000</v>
      </c>
      <c r="R6" s="7">
        <v>0</v>
      </c>
      <c r="S6" s="7"/>
      <c r="T6" s="7">
        <v>0</v>
      </c>
      <c r="U6" s="17">
        <v>0</v>
      </c>
    </row>
    <row r="7" spans="1:21">
      <c r="A7" t="s">
        <v>1</v>
      </c>
      <c r="B7" s="10">
        <v>1231.3559690114089</v>
      </c>
      <c r="C7" s="7">
        <v>21177.712621833281</v>
      </c>
      <c r="D7" s="7">
        <v>8206.2030471699072</v>
      </c>
      <c r="E7" s="7">
        <v>0</v>
      </c>
      <c r="F7" s="17">
        <f t="shared" si="0"/>
        <v>30615.271638014598</v>
      </c>
      <c r="H7" s="22"/>
      <c r="I7" s="24"/>
      <c r="K7" s="10">
        <v>3200</v>
      </c>
      <c r="L7" s="7">
        <v>0</v>
      </c>
      <c r="M7" s="7"/>
      <c r="N7" s="7">
        <v>27000</v>
      </c>
      <c r="O7" s="7">
        <v>0</v>
      </c>
      <c r="P7" s="7"/>
      <c r="Q7" s="7">
        <v>12400</v>
      </c>
      <c r="R7" s="7">
        <v>0</v>
      </c>
      <c r="S7" s="7"/>
      <c r="T7" s="7">
        <v>40</v>
      </c>
      <c r="U7" s="17">
        <v>4</v>
      </c>
    </row>
    <row r="8" spans="1:21">
      <c r="A8" t="s">
        <v>2</v>
      </c>
      <c r="B8" s="10">
        <v>12355.362413956158</v>
      </c>
      <c r="C8" s="7">
        <v>267033.82145102363</v>
      </c>
      <c r="D8" s="7">
        <v>0</v>
      </c>
      <c r="E8" s="7">
        <v>0</v>
      </c>
      <c r="F8" s="17">
        <f t="shared" si="0"/>
        <v>279389.18386497977</v>
      </c>
      <c r="H8" s="4" t="s">
        <v>64</v>
      </c>
      <c r="I8" s="13"/>
      <c r="K8" s="10">
        <v>14519</v>
      </c>
      <c r="L8" s="7">
        <v>0</v>
      </c>
      <c r="M8" s="7"/>
      <c r="N8" s="7">
        <v>147070</v>
      </c>
      <c r="O8" s="7">
        <v>0</v>
      </c>
      <c r="P8" s="7"/>
      <c r="Q8" s="7">
        <v>36314</v>
      </c>
      <c r="R8" s="7">
        <v>0</v>
      </c>
      <c r="S8" s="7"/>
      <c r="T8" s="7">
        <v>0</v>
      </c>
      <c r="U8" s="17">
        <v>0</v>
      </c>
    </row>
    <row r="9" spans="1:21">
      <c r="A9" t="s">
        <v>3</v>
      </c>
      <c r="B9" s="10">
        <v>28003.376585991224</v>
      </c>
      <c r="C9" s="7">
        <v>21661.851150107032</v>
      </c>
      <c r="D9" s="7">
        <v>0</v>
      </c>
      <c r="E9" s="7">
        <v>0</v>
      </c>
      <c r="F9" s="17">
        <f t="shared" si="0"/>
        <v>49665.227736098255</v>
      </c>
      <c r="H9" s="4"/>
      <c r="I9" s="13"/>
      <c r="K9" s="10">
        <v>0</v>
      </c>
      <c r="L9" s="7">
        <v>0</v>
      </c>
      <c r="M9" s="7"/>
      <c r="N9" s="7">
        <v>0</v>
      </c>
      <c r="O9" s="7">
        <v>0</v>
      </c>
      <c r="P9" s="7"/>
      <c r="Q9" s="7">
        <v>96472</v>
      </c>
      <c r="R9" s="7">
        <v>0</v>
      </c>
      <c r="S9" s="7"/>
      <c r="T9" s="7">
        <v>0</v>
      </c>
      <c r="U9" s="17">
        <v>0</v>
      </c>
    </row>
    <row r="10" spans="1:21">
      <c r="A10" t="s">
        <v>4</v>
      </c>
      <c r="B10" s="10">
        <v>91935.268181937427</v>
      </c>
      <c r="C10" s="7">
        <v>781780.95606773486</v>
      </c>
      <c r="D10" s="7">
        <v>1457480.8351104811</v>
      </c>
      <c r="E10" s="7">
        <v>0</v>
      </c>
      <c r="F10" s="17">
        <f t="shared" si="0"/>
        <v>2331197.0593601535</v>
      </c>
      <c r="H10" s="4" t="s">
        <v>65</v>
      </c>
      <c r="I10" s="14">
        <v>17669766.800000001</v>
      </c>
      <c r="K10" s="10">
        <v>96300</v>
      </c>
      <c r="L10" s="7">
        <v>0</v>
      </c>
      <c r="M10" s="7"/>
      <c r="N10" s="7">
        <v>1091400</v>
      </c>
      <c r="O10" s="7">
        <v>275000</v>
      </c>
      <c r="P10" s="7"/>
      <c r="Q10" s="7">
        <v>2022300</v>
      </c>
      <c r="R10" s="7">
        <v>400000</v>
      </c>
      <c r="S10" s="7"/>
      <c r="T10" s="7">
        <v>0</v>
      </c>
      <c r="U10" s="17">
        <v>0</v>
      </c>
    </row>
    <row r="11" spans="1:21">
      <c r="A11" t="s">
        <v>5</v>
      </c>
      <c r="B11" s="10">
        <v>11648.325753393994</v>
      </c>
      <c r="C11" s="7">
        <v>46483.965502339655</v>
      </c>
      <c r="D11" s="7">
        <v>116819.64754825522</v>
      </c>
      <c r="E11" s="7">
        <v>0</v>
      </c>
      <c r="F11" s="17">
        <f t="shared" si="0"/>
        <v>174951.93880398886</v>
      </c>
      <c r="H11" s="4"/>
      <c r="I11" s="14"/>
      <c r="K11" s="10">
        <v>0</v>
      </c>
      <c r="L11" s="7">
        <v>0</v>
      </c>
      <c r="M11" s="7"/>
      <c r="N11" s="7">
        <v>0</v>
      </c>
      <c r="O11" s="7">
        <v>0</v>
      </c>
      <c r="P11" s="7"/>
      <c r="Q11" s="7">
        <v>2000000</v>
      </c>
      <c r="R11" s="7">
        <v>1884084</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245172.65114647872</v>
      </c>
      <c r="C13" s="7">
        <v>2636976.1230339841</v>
      </c>
      <c r="D13" s="7">
        <v>1430345.735490432</v>
      </c>
      <c r="E13" s="7">
        <v>0</v>
      </c>
      <c r="F13" s="17">
        <f t="shared" si="0"/>
        <v>4312494.5096708946</v>
      </c>
      <c r="H13" s="4" t="s">
        <v>67</v>
      </c>
      <c r="I13" s="14">
        <v>9335960.7999999989</v>
      </c>
      <c r="K13" s="10">
        <v>148000</v>
      </c>
      <c r="L13" s="7">
        <v>0</v>
      </c>
      <c r="M13" s="7"/>
      <c r="N13" s="7">
        <v>1702000</v>
      </c>
      <c r="O13" s="7">
        <v>0</v>
      </c>
      <c r="P13" s="7"/>
      <c r="Q13" s="7">
        <v>1850000</v>
      </c>
      <c r="R13" s="7">
        <v>0</v>
      </c>
      <c r="S13" s="7"/>
      <c r="T13" s="7">
        <v>0</v>
      </c>
      <c r="U13" s="17">
        <v>0</v>
      </c>
    </row>
    <row r="14" spans="1:21">
      <c r="A14" t="s">
        <v>8</v>
      </c>
      <c r="B14" s="10">
        <v>1675.0082817212492</v>
      </c>
      <c r="C14" s="7">
        <v>36740.70453239551</v>
      </c>
      <c r="D14" s="7">
        <v>0</v>
      </c>
      <c r="E14" s="7">
        <v>0</v>
      </c>
      <c r="F14" s="17">
        <f t="shared" si="0"/>
        <v>38415.712814116756</v>
      </c>
      <c r="H14" s="4" t="s">
        <v>68</v>
      </c>
      <c r="I14" s="14">
        <v>1230967.8400000001</v>
      </c>
      <c r="K14" s="10">
        <v>100000</v>
      </c>
      <c r="L14" s="7">
        <v>102326</v>
      </c>
      <c r="M14" s="7"/>
      <c r="N14" s="7">
        <v>31672</v>
      </c>
      <c r="O14" s="7">
        <v>0</v>
      </c>
      <c r="P14" s="7"/>
      <c r="Q14" s="7">
        <v>600000</v>
      </c>
      <c r="R14" s="7">
        <v>232606</v>
      </c>
      <c r="S14" s="7"/>
      <c r="T14" s="7">
        <v>0</v>
      </c>
      <c r="U14" s="17">
        <v>0</v>
      </c>
    </row>
    <row r="15" spans="1:21">
      <c r="A15" t="s">
        <v>9</v>
      </c>
      <c r="B15" s="10">
        <v>55719.922001666979</v>
      </c>
      <c r="C15" s="7">
        <v>397113.38667389192</v>
      </c>
      <c r="D15" s="7">
        <v>0</v>
      </c>
      <c r="E15" s="7">
        <v>0</v>
      </c>
      <c r="F15" s="17">
        <f t="shared" si="0"/>
        <v>452833.30867555889</v>
      </c>
      <c r="H15" s="4" t="s">
        <v>69</v>
      </c>
      <c r="I15" s="14">
        <v>1279382.0000000005</v>
      </c>
      <c r="K15" s="10">
        <v>107000</v>
      </c>
      <c r="L15" s="7">
        <v>0</v>
      </c>
      <c r="M15" s="7"/>
      <c r="N15" s="7">
        <v>252000</v>
      </c>
      <c r="O15" s="7">
        <v>0</v>
      </c>
      <c r="P15" s="7"/>
      <c r="Q15" s="7">
        <v>750000</v>
      </c>
      <c r="R15" s="7">
        <v>0</v>
      </c>
      <c r="S15" s="7"/>
      <c r="T15" s="7">
        <v>0</v>
      </c>
      <c r="U15" s="17">
        <v>0</v>
      </c>
    </row>
    <row r="16" spans="1:21">
      <c r="A16" t="s">
        <v>10</v>
      </c>
      <c r="B16" s="10">
        <v>20606.283883865588</v>
      </c>
      <c r="C16" s="7">
        <v>59753.711308316822</v>
      </c>
      <c r="D16" s="7">
        <v>78293.308617169343</v>
      </c>
      <c r="E16" s="7">
        <v>0</v>
      </c>
      <c r="F16" s="17">
        <f t="shared" si="0"/>
        <v>158653.30380935175</v>
      </c>
      <c r="H16" s="4" t="s">
        <v>70</v>
      </c>
      <c r="I16" s="14">
        <v>0</v>
      </c>
      <c r="K16" s="10">
        <v>25000</v>
      </c>
      <c r="L16" s="7">
        <v>0</v>
      </c>
      <c r="M16" s="7"/>
      <c r="N16" s="7">
        <v>0</v>
      </c>
      <c r="O16" s="7">
        <v>0</v>
      </c>
      <c r="P16" s="7"/>
      <c r="Q16" s="7">
        <v>0</v>
      </c>
      <c r="R16" s="7">
        <v>64528</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8571.4767655980286</v>
      </c>
      <c r="C18" s="7">
        <v>71838.821790979506</v>
      </c>
      <c r="D18" s="7">
        <v>943.35628778980367</v>
      </c>
      <c r="E18" s="7">
        <v>0</v>
      </c>
      <c r="F18" s="17">
        <f t="shared" si="0"/>
        <v>81353.654844367338</v>
      </c>
      <c r="H18" s="4" t="s">
        <v>71</v>
      </c>
      <c r="I18" s="14"/>
      <c r="K18" s="10">
        <v>5200</v>
      </c>
      <c r="L18" s="7">
        <v>0</v>
      </c>
      <c r="M18" s="7"/>
      <c r="N18" s="7">
        <v>44000</v>
      </c>
      <c r="O18" s="7">
        <v>0</v>
      </c>
      <c r="P18" s="7"/>
      <c r="Q18" s="7">
        <v>60800</v>
      </c>
      <c r="R18" s="7">
        <v>0</v>
      </c>
      <c r="S18" s="7"/>
      <c r="T18" s="7">
        <v>0</v>
      </c>
      <c r="U18" s="17">
        <v>0</v>
      </c>
    </row>
    <row r="19" spans="1:21">
      <c r="A19" t="s">
        <v>13</v>
      </c>
      <c r="B19" s="10">
        <v>10602.069628963369</v>
      </c>
      <c r="C19" s="7">
        <v>255430.13260488014</v>
      </c>
      <c r="D19" s="7">
        <v>120932.84355309655</v>
      </c>
      <c r="E19" s="7">
        <v>0</v>
      </c>
      <c r="F19" s="17">
        <f t="shared" si="0"/>
        <v>386965.04578694003</v>
      </c>
      <c r="H19" s="4" t="s">
        <v>72</v>
      </c>
      <c r="I19" s="14">
        <v>0</v>
      </c>
      <c r="K19" s="10">
        <v>55000</v>
      </c>
      <c r="L19" s="7">
        <v>0</v>
      </c>
      <c r="M19" s="7"/>
      <c r="N19" s="7">
        <v>300000</v>
      </c>
      <c r="O19" s="7">
        <v>0</v>
      </c>
      <c r="P19" s="7"/>
      <c r="Q19" s="7">
        <v>295000</v>
      </c>
      <c r="R19" s="7">
        <v>0</v>
      </c>
      <c r="S19" s="7"/>
      <c r="T19" s="7">
        <v>0</v>
      </c>
      <c r="U19" s="17">
        <v>0</v>
      </c>
    </row>
    <row r="20" spans="1:21">
      <c r="A20" t="s">
        <v>14</v>
      </c>
      <c r="B20" s="10">
        <v>10916.759383898936</v>
      </c>
      <c r="C20" s="7">
        <v>85795.678122972313</v>
      </c>
      <c r="D20" s="7">
        <v>95395.961256956012</v>
      </c>
      <c r="E20" s="7">
        <v>0</v>
      </c>
      <c r="F20" s="17">
        <f t="shared" si="0"/>
        <v>192108.39876382728</v>
      </c>
      <c r="H20" s="4" t="s">
        <v>73</v>
      </c>
      <c r="I20" s="14">
        <v>9387292.4799999986</v>
      </c>
      <c r="K20" s="10"/>
      <c r="L20" s="7"/>
      <c r="M20" s="7"/>
      <c r="N20" s="7"/>
      <c r="O20" s="7"/>
      <c r="P20" s="7"/>
      <c r="Q20" s="7"/>
      <c r="R20" s="7"/>
      <c r="S20" s="7"/>
      <c r="T20" s="7"/>
      <c r="U20" s="17"/>
    </row>
    <row r="21" spans="1:21">
      <c r="A21" t="s">
        <v>15</v>
      </c>
      <c r="B21" s="10">
        <v>1961.0790130292744</v>
      </c>
      <c r="C21" s="7">
        <v>66701.968939940271</v>
      </c>
      <c r="D21" s="7">
        <v>2360.8795647186112</v>
      </c>
      <c r="E21" s="7">
        <v>0</v>
      </c>
      <c r="F21" s="17">
        <f t="shared" si="0"/>
        <v>71023.927517688149</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-125003</v>
      </c>
      <c r="K22" s="10"/>
      <c r="L22" s="7"/>
      <c r="M22" s="7"/>
      <c r="N22" s="7"/>
      <c r="O22" s="7"/>
      <c r="P22" s="7"/>
      <c r="Q22" s="7"/>
      <c r="R22" s="7"/>
      <c r="S22" s="7"/>
      <c r="T22" s="7"/>
      <c r="U22" s="17"/>
    </row>
    <row r="23" spans="1:21">
      <c r="A23" t="s">
        <v>17</v>
      </c>
      <c r="B23" s="10">
        <v>8920.5335490355319</v>
      </c>
      <c r="C23" s="7">
        <v>49497.800272007655</v>
      </c>
      <c r="D23" s="7">
        <v>53834.632138419583</v>
      </c>
      <c r="E23" s="7">
        <v>0</v>
      </c>
      <c r="F23" s="17">
        <f t="shared" si="0"/>
        <v>112252.96595946277</v>
      </c>
      <c r="H23" s="4" t="s">
        <v>76</v>
      </c>
      <c r="I23" s="14"/>
      <c r="K23" s="10">
        <v>26779</v>
      </c>
      <c r="L23" s="7">
        <v>0</v>
      </c>
      <c r="M23" s="7"/>
      <c r="N23" s="7">
        <v>76788</v>
      </c>
      <c r="O23" s="7">
        <v>0</v>
      </c>
      <c r="P23" s="7"/>
      <c r="Q23" s="7">
        <v>82494</v>
      </c>
      <c r="R23" s="7">
        <v>0</v>
      </c>
      <c r="S23" s="7"/>
      <c r="T23" s="7">
        <v>0</v>
      </c>
      <c r="U23" s="17">
        <v>0</v>
      </c>
    </row>
    <row r="24" spans="1:21">
      <c r="A24" t="s">
        <v>18</v>
      </c>
      <c r="B24" s="10">
        <v>5094.2213116340299</v>
      </c>
      <c r="C24" s="7">
        <v>26332.479504814732</v>
      </c>
      <c r="D24" s="7">
        <v>0</v>
      </c>
      <c r="E24" s="7">
        <v>0</v>
      </c>
      <c r="F24" s="17">
        <f t="shared" si="0"/>
        <v>31426.700816448763</v>
      </c>
      <c r="H24" s="4" t="s">
        <v>77</v>
      </c>
      <c r="I24" s="14">
        <v>5160779.8499999978</v>
      </c>
      <c r="K24" s="10">
        <v>0</v>
      </c>
      <c r="L24" s="7">
        <v>0</v>
      </c>
      <c r="M24" s="7"/>
      <c r="N24" s="7">
        <v>0</v>
      </c>
      <c r="O24" s="7">
        <v>0</v>
      </c>
      <c r="P24" s="7"/>
      <c r="Q24" s="7">
        <v>180000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15093008.110000005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15093008.110000009</v>
      </c>
      <c r="K27" s="10"/>
      <c r="L27" s="7"/>
      <c r="M27" s="7"/>
      <c r="N27" s="7"/>
      <c r="O27" s="7"/>
      <c r="P27" s="7"/>
      <c r="Q27" s="7"/>
      <c r="R27" s="7"/>
      <c r="S27" s="7"/>
      <c r="T27" s="7"/>
      <c r="U27" s="17"/>
    </row>
    <row r="28" spans="1:21">
      <c r="A28" t="s">
        <v>22</v>
      </c>
      <c r="B28" s="10">
        <v>18271.485554365216</v>
      </c>
      <c r="C28" s="7">
        <v>457645.700717278</v>
      </c>
      <c r="D28" s="7">
        <v>172485.91578110319</v>
      </c>
      <c r="E28" s="7">
        <v>0</v>
      </c>
      <c r="F28" s="17">
        <f t="shared" si="0"/>
        <v>648403.10205274634</v>
      </c>
      <c r="H28" s="23"/>
      <c r="I28" s="25"/>
      <c r="K28" s="10"/>
      <c r="L28" s="7"/>
      <c r="M28" s="7"/>
      <c r="N28" s="7"/>
      <c r="O28" s="7"/>
      <c r="P28" s="7"/>
      <c r="Q28" s="7"/>
      <c r="R28" s="7"/>
      <c r="S28" s="7"/>
      <c r="T28" s="7"/>
      <c r="U28" s="17"/>
    </row>
    <row r="29" spans="1:21">
      <c r="A29" t="s">
        <v>23</v>
      </c>
      <c r="B29" s="10">
        <v>8166.2921089140973</v>
      </c>
      <c r="C29" s="7">
        <v>152127.32382935737</v>
      </c>
      <c r="D29" s="7">
        <v>225263.74821788279</v>
      </c>
      <c r="E29" s="7">
        <v>0</v>
      </c>
      <c r="F29" s="17">
        <f t="shared" si="0"/>
        <v>385557.36415615422</v>
      </c>
      <c r="K29" s="10">
        <v>10500</v>
      </c>
      <c r="L29" s="7">
        <v>0</v>
      </c>
      <c r="M29" s="7"/>
      <c r="N29" s="7">
        <v>210000</v>
      </c>
      <c r="O29" s="7">
        <v>0</v>
      </c>
      <c r="P29" s="7"/>
      <c r="Q29" s="7">
        <v>85000</v>
      </c>
      <c r="R29" s="7">
        <v>0</v>
      </c>
      <c r="S29" s="7"/>
      <c r="T29" s="7">
        <v>0</v>
      </c>
      <c r="U29" s="17">
        <v>0</v>
      </c>
    </row>
    <row r="30" spans="1:21">
      <c r="A30" t="s">
        <v>24</v>
      </c>
      <c r="B30" s="10">
        <v>2453.9728489753716</v>
      </c>
      <c r="C30" s="7">
        <v>5241.2703487724793</v>
      </c>
      <c r="D30" s="7">
        <v>90081.034844955619</v>
      </c>
      <c r="E30" s="7">
        <v>0</v>
      </c>
      <c r="F30" s="17">
        <f t="shared" si="0"/>
        <v>97776.278042703474</v>
      </c>
      <c r="K30" s="10">
        <v>12150</v>
      </c>
      <c r="L30" s="7">
        <v>0</v>
      </c>
      <c r="M30" s="7"/>
      <c r="N30" s="7">
        <v>122850</v>
      </c>
      <c r="O30" s="7">
        <v>0</v>
      </c>
      <c r="P30" s="7"/>
      <c r="Q30" s="7">
        <v>0</v>
      </c>
      <c r="R30" s="7">
        <v>0</v>
      </c>
      <c r="S30" s="7"/>
      <c r="T30" s="7">
        <v>0</v>
      </c>
      <c r="U30" s="17">
        <v>0</v>
      </c>
    </row>
    <row r="31" spans="1:21">
      <c r="A31" t="s">
        <v>25</v>
      </c>
      <c r="B31" s="10">
        <v>10362.78745620362</v>
      </c>
      <c r="C31" s="7">
        <v>153989.75248329627</v>
      </c>
      <c r="D31" s="7">
        <v>46785.700126670665</v>
      </c>
      <c r="E31" s="7">
        <v>0</v>
      </c>
      <c r="F31" s="17">
        <f t="shared" si="0"/>
        <v>211138.24006617058</v>
      </c>
      <c r="K31" s="10"/>
      <c r="L31" s="7"/>
      <c r="M31" s="7"/>
      <c r="N31" s="7"/>
      <c r="O31" s="7"/>
      <c r="P31" s="7"/>
      <c r="Q31" s="7"/>
      <c r="R31" s="7"/>
      <c r="S31" s="7"/>
      <c r="T31" s="7"/>
      <c r="U31" s="17"/>
    </row>
    <row r="32" spans="1:21">
      <c r="A32" t="s">
        <v>26</v>
      </c>
      <c r="B32" s="10">
        <v>1338.1329883535489</v>
      </c>
      <c r="C32" s="7">
        <v>21081.480091675512</v>
      </c>
      <c r="D32" s="7">
        <v>25058.211696050625</v>
      </c>
      <c r="E32" s="7">
        <v>0</v>
      </c>
      <c r="F32" s="17">
        <f t="shared" si="0"/>
        <v>47477.82477607968</v>
      </c>
      <c r="K32" s="10">
        <v>0</v>
      </c>
      <c r="L32" s="7">
        <v>0</v>
      </c>
      <c r="M32" s="7"/>
      <c r="N32" s="7">
        <v>0</v>
      </c>
      <c r="O32" s="7">
        <v>0</v>
      </c>
      <c r="P32" s="7"/>
      <c r="Q32" s="7">
        <v>50000</v>
      </c>
      <c r="R32" s="7">
        <v>0</v>
      </c>
      <c r="S32" s="7"/>
      <c r="T32" s="7">
        <v>0</v>
      </c>
      <c r="U32" s="17">
        <v>0</v>
      </c>
    </row>
    <row r="33" spans="1:21">
      <c r="A33" t="s">
        <v>27</v>
      </c>
      <c r="B33" s="10">
        <v>3020.0381542440009</v>
      </c>
      <c r="C33" s="7">
        <v>73321.783240263874</v>
      </c>
      <c r="D33" s="7">
        <v>0</v>
      </c>
      <c r="E33" s="7">
        <v>0</v>
      </c>
      <c r="F33" s="17">
        <f t="shared" si="0"/>
        <v>76341.821394507875</v>
      </c>
      <c r="K33" s="10">
        <v>16650</v>
      </c>
      <c r="L33" s="7">
        <v>0</v>
      </c>
      <c r="M33" s="7"/>
      <c r="N33" s="7">
        <v>17218</v>
      </c>
      <c r="O33" s="7">
        <v>0</v>
      </c>
      <c r="P33" s="7"/>
      <c r="Q33" s="7">
        <v>3700</v>
      </c>
      <c r="R33" s="7">
        <v>0</v>
      </c>
      <c r="S33" s="7"/>
      <c r="T33" s="7">
        <v>0</v>
      </c>
      <c r="U33" s="17">
        <v>0</v>
      </c>
    </row>
    <row r="34" spans="1:21">
      <c r="A34" t="s">
        <v>28</v>
      </c>
      <c r="B34" s="10">
        <v>3147.4072326636979</v>
      </c>
      <c r="C34" s="7">
        <v>57786.561454266259</v>
      </c>
      <c r="D34" s="7">
        <v>0</v>
      </c>
      <c r="E34" s="7">
        <v>0</v>
      </c>
      <c r="F34" s="17">
        <f t="shared" si="0"/>
        <v>60933.968686929955</v>
      </c>
      <c r="K34" s="10">
        <v>4600</v>
      </c>
      <c r="L34" s="7">
        <v>0</v>
      </c>
      <c r="M34" s="7"/>
      <c r="N34" s="7">
        <v>78800</v>
      </c>
      <c r="O34" s="7">
        <v>0</v>
      </c>
      <c r="P34" s="7"/>
      <c r="Q34" s="7">
        <v>39600</v>
      </c>
      <c r="R34" s="7">
        <v>0</v>
      </c>
      <c r="S34" s="7"/>
      <c r="T34" s="7">
        <v>0</v>
      </c>
      <c r="U34" s="17">
        <v>0</v>
      </c>
    </row>
    <row r="35" spans="1:21">
      <c r="A35" t="s">
        <v>29</v>
      </c>
      <c r="B35" s="10">
        <v>3046.7358098320556</v>
      </c>
      <c r="C35" s="7">
        <v>2801.7178399761133</v>
      </c>
      <c r="D35" s="7">
        <v>147213.88222331656</v>
      </c>
      <c r="E35" s="7">
        <v>0</v>
      </c>
      <c r="F35" s="17">
        <f t="shared" si="0"/>
        <v>153062.33587312471</v>
      </c>
      <c r="K35" s="10">
        <v>0</v>
      </c>
      <c r="L35" s="7">
        <v>0</v>
      </c>
      <c r="M35" s="7"/>
      <c r="N35" s="7">
        <v>0</v>
      </c>
      <c r="O35" s="7">
        <v>0</v>
      </c>
      <c r="P35" s="7"/>
      <c r="Q35" s="7">
        <v>210000</v>
      </c>
      <c r="R35" s="7">
        <v>0</v>
      </c>
      <c r="S35" s="7"/>
      <c r="T35" s="7">
        <v>0</v>
      </c>
      <c r="U35" s="17">
        <v>0</v>
      </c>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7225.9926045553184</v>
      </c>
      <c r="C37" s="7">
        <v>11539.156900670509</v>
      </c>
      <c r="D37" s="7">
        <v>66552.786867221774</v>
      </c>
      <c r="E37" s="7">
        <v>0</v>
      </c>
      <c r="F37" s="17">
        <f t="shared" si="0"/>
        <v>85317.936372447599</v>
      </c>
      <c r="K37" s="10">
        <v>0</v>
      </c>
      <c r="L37" s="7">
        <v>0</v>
      </c>
      <c r="M37" s="7"/>
      <c r="N37" s="7">
        <v>0</v>
      </c>
      <c r="O37" s="7">
        <v>0</v>
      </c>
      <c r="P37" s="7"/>
      <c r="Q37" s="7">
        <v>59981</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1927.0723018399337</v>
      </c>
      <c r="C40" s="7">
        <v>-37.040643378794577</v>
      </c>
      <c r="D40" s="7">
        <v>0</v>
      </c>
      <c r="E40" s="7">
        <v>0</v>
      </c>
      <c r="F40" s="17">
        <f t="shared" si="1"/>
        <v>1890.0316584611392</v>
      </c>
      <c r="K40" s="10"/>
      <c r="L40" s="7"/>
      <c r="M40" s="7"/>
      <c r="N40" s="7"/>
      <c r="O40" s="7"/>
      <c r="P40" s="7"/>
      <c r="Q40" s="7"/>
      <c r="R40" s="7"/>
      <c r="S40" s="7"/>
      <c r="T40" s="7"/>
      <c r="U40" s="17"/>
    </row>
    <row r="41" spans="1:21">
      <c r="A41" t="s">
        <v>35</v>
      </c>
      <c r="B41" s="10">
        <v>8103.003070166782</v>
      </c>
      <c r="C41" s="7">
        <v>79756.1856424945</v>
      </c>
      <c r="D41" s="7">
        <v>80720.090139611435</v>
      </c>
      <c r="E41" s="7">
        <v>0</v>
      </c>
      <c r="F41" s="17">
        <f t="shared" si="1"/>
        <v>168579.27885227272</v>
      </c>
      <c r="K41" s="10">
        <v>10000</v>
      </c>
      <c r="L41" s="7">
        <v>0</v>
      </c>
      <c r="M41" s="7"/>
      <c r="N41" s="7">
        <v>70000</v>
      </c>
      <c r="O41" s="7">
        <v>0</v>
      </c>
      <c r="P41" s="7"/>
      <c r="Q41" s="7">
        <v>150000</v>
      </c>
      <c r="R41" s="7">
        <v>0</v>
      </c>
      <c r="S41" s="7"/>
      <c r="T41" s="7">
        <v>0</v>
      </c>
      <c r="U41" s="17">
        <v>0</v>
      </c>
    </row>
    <row r="42" spans="1:21">
      <c r="A42" t="s">
        <v>36</v>
      </c>
      <c r="B42" s="10">
        <v>5251.7981720861881</v>
      </c>
      <c r="C42" s="7">
        <v>62792.039948125341</v>
      </c>
      <c r="D42" s="7">
        <v>172069.32470568712</v>
      </c>
      <c r="E42" s="7">
        <v>0</v>
      </c>
      <c r="F42" s="17">
        <f t="shared" si="1"/>
        <v>240113.16282589865</v>
      </c>
      <c r="K42" s="10">
        <v>98000</v>
      </c>
      <c r="L42" s="7">
        <v>0</v>
      </c>
      <c r="M42" s="7"/>
      <c r="N42" s="7">
        <v>7000</v>
      </c>
      <c r="O42" s="7">
        <v>0</v>
      </c>
      <c r="P42" s="7"/>
      <c r="Q42" s="7">
        <v>245000</v>
      </c>
      <c r="R42" s="7">
        <v>0</v>
      </c>
      <c r="S42" s="7"/>
      <c r="T42" s="7">
        <v>0</v>
      </c>
      <c r="U42" s="17">
        <v>0</v>
      </c>
    </row>
    <row r="43" spans="1:21">
      <c r="A43" t="s">
        <v>37</v>
      </c>
      <c r="B43" s="10">
        <v>6042.5134684956756</v>
      </c>
      <c r="C43" s="7">
        <v>106134.72786798248</v>
      </c>
      <c r="D43" s="7">
        <v>41953.42914170678</v>
      </c>
      <c r="E43" s="7">
        <v>0</v>
      </c>
      <c r="F43" s="17">
        <f t="shared" si="1"/>
        <v>154130.67047818494</v>
      </c>
      <c r="K43" s="10"/>
      <c r="L43" s="7"/>
      <c r="M43" s="7"/>
      <c r="N43" s="7"/>
      <c r="O43" s="7"/>
      <c r="P43" s="7"/>
      <c r="Q43" s="7"/>
      <c r="R43" s="7"/>
      <c r="S43" s="7"/>
      <c r="T43" s="7"/>
      <c r="U43" s="17"/>
    </row>
    <row r="44" spans="1:21">
      <c r="A44" t="s">
        <v>38</v>
      </c>
      <c r="B44" s="10">
        <v>15937.708308202975</v>
      </c>
      <c r="C44" s="7">
        <v>445041.28294333577</v>
      </c>
      <c r="D44" s="7">
        <v>151439.45677755761</v>
      </c>
      <c r="E44" s="7">
        <v>0</v>
      </c>
      <c r="F44" s="17">
        <f t="shared" si="1"/>
        <v>612418.44802909635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3350.8229622620893</v>
      </c>
      <c r="C46" s="7">
        <v>21747.836029279359</v>
      </c>
      <c r="D46" s="7">
        <v>0</v>
      </c>
      <c r="E46" s="7">
        <v>0</v>
      </c>
      <c r="F46" s="17">
        <f t="shared" si="1"/>
        <v>25098.658991541448</v>
      </c>
      <c r="K46" s="10">
        <v>3400</v>
      </c>
      <c r="L46" s="7">
        <v>0</v>
      </c>
      <c r="M46" s="7"/>
      <c r="N46" s="7">
        <v>11900</v>
      </c>
      <c r="O46" s="7">
        <v>0</v>
      </c>
      <c r="P46" s="7"/>
      <c r="Q46" s="7">
        <v>18700</v>
      </c>
      <c r="R46" s="7">
        <v>0</v>
      </c>
      <c r="S46" s="7"/>
      <c r="T46" s="7">
        <v>0</v>
      </c>
      <c r="U46" s="17">
        <v>0</v>
      </c>
    </row>
    <row r="47" spans="1:21">
      <c r="A47" t="s">
        <v>41</v>
      </c>
      <c r="B47" s="10">
        <v>16136.771991317104</v>
      </c>
      <c r="C47" s="7">
        <v>40603.740396960507</v>
      </c>
      <c r="D47" s="7">
        <v>16477.501673292038</v>
      </c>
      <c r="E47" s="7">
        <v>0</v>
      </c>
      <c r="F47" s="17">
        <f t="shared" si="1"/>
        <v>73218.014061569644</v>
      </c>
      <c r="K47" s="10"/>
      <c r="L47" s="7"/>
      <c r="M47" s="7"/>
      <c r="N47" s="7"/>
      <c r="O47" s="7"/>
      <c r="P47" s="7"/>
      <c r="Q47" s="7"/>
      <c r="R47" s="7"/>
      <c r="S47" s="7"/>
      <c r="T47" s="7"/>
      <c r="U47" s="17"/>
    </row>
    <row r="48" spans="1:21">
      <c r="A48" t="s">
        <v>42</v>
      </c>
      <c r="B48" s="10">
        <v>1787.0073072546197</v>
      </c>
      <c r="C48" s="7">
        <v>141389.75168685106</v>
      </c>
      <c r="D48" s="7">
        <v>0</v>
      </c>
      <c r="E48" s="7">
        <v>0</v>
      </c>
      <c r="F48" s="17">
        <f t="shared" si="1"/>
        <v>143176.75899410568</v>
      </c>
      <c r="K48" s="10">
        <v>0</v>
      </c>
      <c r="L48" s="7">
        <v>0</v>
      </c>
      <c r="M48" s="7"/>
      <c r="N48" s="7">
        <v>0</v>
      </c>
      <c r="O48" s="7">
        <v>0</v>
      </c>
      <c r="P48" s="7"/>
      <c r="Q48" s="7">
        <v>102492</v>
      </c>
      <c r="R48" s="7">
        <v>0</v>
      </c>
      <c r="S48" s="7"/>
      <c r="T48" s="7">
        <v>0</v>
      </c>
      <c r="U48" s="17">
        <v>0</v>
      </c>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37772.180617315724</v>
      </c>
      <c r="C50" s="7">
        <v>488159.22217188112</v>
      </c>
      <c r="D50" s="7">
        <v>665577.35061785625</v>
      </c>
      <c r="E50" s="7">
        <v>0</v>
      </c>
      <c r="F50" s="17">
        <f t="shared" si="1"/>
        <v>1191508.7534070532</v>
      </c>
      <c r="K50" s="10">
        <v>19461</v>
      </c>
      <c r="L50" s="7">
        <v>2042.0701079999999</v>
      </c>
      <c r="M50" s="7"/>
      <c r="N50" s="7">
        <v>2706</v>
      </c>
      <c r="O50" s="7">
        <v>275.95542</v>
      </c>
      <c r="P50" s="7"/>
      <c r="Q50" s="7">
        <v>1740990</v>
      </c>
      <c r="R50" s="7">
        <v>181652.254472</v>
      </c>
      <c r="S50" s="7"/>
      <c r="T50" s="7">
        <v>0</v>
      </c>
      <c r="U50" s="17">
        <v>0</v>
      </c>
    </row>
    <row r="51" spans="1:21">
      <c r="A51" t="s">
        <v>45</v>
      </c>
      <c r="B51" s="10">
        <v>1731.4121382765752</v>
      </c>
      <c r="C51" s="7">
        <v>10286.256932339507</v>
      </c>
      <c r="D51" s="7">
        <v>863.62003041747221</v>
      </c>
      <c r="E51" s="7">
        <v>0</v>
      </c>
      <c r="F51" s="17">
        <f t="shared" si="1"/>
        <v>12881.289101033555</v>
      </c>
      <c r="K51" s="10">
        <v>3290</v>
      </c>
      <c r="L51" s="7">
        <v>0</v>
      </c>
      <c r="M51" s="7"/>
      <c r="N51" s="7">
        <v>20210</v>
      </c>
      <c r="O51" s="7">
        <v>0</v>
      </c>
      <c r="P51" s="7"/>
      <c r="Q51" s="7">
        <v>0</v>
      </c>
      <c r="R51" s="7">
        <v>0</v>
      </c>
      <c r="S51" s="7"/>
      <c r="T51" s="7">
        <v>0</v>
      </c>
      <c r="U51" s="17">
        <v>0</v>
      </c>
    </row>
    <row r="52" spans="1:21">
      <c r="A52" t="s">
        <v>46</v>
      </c>
      <c r="B52" s="10">
        <v>723.75640929085898</v>
      </c>
      <c r="C52" s="7">
        <v>8492.5960607368033</v>
      </c>
      <c r="D52" s="7">
        <v>0</v>
      </c>
      <c r="E52" s="7">
        <v>0</v>
      </c>
      <c r="F52" s="17">
        <f t="shared" si="1"/>
        <v>9216.352470027663</v>
      </c>
      <c r="K52" s="10"/>
      <c r="L52" s="7"/>
      <c r="M52" s="7"/>
      <c r="N52" s="7"/>
      <c r="O52" s="7"/>
      <c r="P52" s="7"/>
      <c r="Q52" s="7"/>
      <c r="R52" s="7"/>
      <c r="S52" s="7"/>
      <c r="T52" s="7"/>
      <c r="U52" s="17"/>
    </row>
    <row r="53" spans="1:21">
      <c r="A53" t="s">
        <v>47</v>
      </c>
      <c r="B53" s="10">
        <v>366744.19265153707</v>
      </c>
      <c r="C53" s="7">
        <v>344314.81482045236</v>
      </c>
      <c r="D53" s="7">
        <v>8123.4438608620276</v>
      </c>
      <c r="E53" s="7">
        <v>0</v>
      </c>
      <c r="F53" s="17">
        <f t="shared" si="1"/>
        <v>719182.45133285143</v>
      </c>
      <c r="K53" s="10">
        <v>61755</v>
      </c>
      <c r="L53" s="7">
        <v>0</v>
      </c>
      <c r="M53" s="7"/>
      <c r="N53" s="7">
        <v>393791</v>
      </c>
      <c r="O53" s="7">
        <v>0</v>
      </c>
      <c r="P53" s="7"/>
      <c r="Q53" s="7">
        <v>930387</v>
      </c>
      <c r="R53" s="7">
        <v>450000</v>
      </c>
      <c r="S53" s="7"/>
      <c r="T53" s="7">
        <v>0</v>
      </c>
      <c r="U53" s="17">
        <v>0</v>
      </c>
    </row>
    <row r="54" spans="1:21">
      <c r="A54" t="s">
        <v>48</v>
      </c>
      <c r="B54" s="10">
        <v>58430.47126467622</v>
      </c>
      <c r="C54" s="7">
        <v>532832.83464023948</v>
      </c>
      <c r="D54" s="7">
        <v>103300.88182213207</v>
      </c>
      <c r="E54" s="7">
        <v>0</v>
      </c>
      <c r="F54" s="17">
        <f t="shared" si="1"/>
        <v>694564.18772704771</v>
      </c>
      <c r="K54" s="10">
        <v>0</v>
      </c>
      <c r="L54" s="7">
        <v>0</v>
      </c>
      <c r="M54" s="7"/>
      <c r="N54" s="7">
        <v>350000</v>
      </c>
      <c r="O54" s="7">
        <v>0</v>
      </c>
      <c r="P54" s="7"/>
      <c r="Q54" s="7">
        <v>200000</v>
      </c>
      <c r="R54" s="7">
        <v>0</v>
      </c>
      <c r="S54" s="7"/>
      <c r="T54" s="7">
        <v>0</v>
      </c>
      <c r="U54" s="17">
        <v>0</v>
      </c>
    </row>
    <row r="55" spans="1:21">
      <c r="A55" t="s">
        <v>49</v>
      </c>
      <c r="B55" s="10">
        <v>3449.7325734062697</v>
      </c>
      <c r="C55" s="7">
        <v>66201.482486587891</v>
      </c>
      <c r="D55" s="7">
        <v>106076.82658464313</v>
      </c>
      <c r="E55" s="7">
        <v>0</v>
      </c>
      <c r="F55" s="17">
        <f t="shared" si="1"/>
        <v>175728.0416446373</v>
      </c>
      <c r="K55" s="10">
        <v>7080</v>
      </c>
      <c r="L55" s="7">
        <v>153687</v>
      </c>
      <c r="M55" s="7"/>
      <c r="N55" s="7">
        <v>6360</v>
      </c>
      <c r="O55" s="7">
        <v>261</v>
      </c>
      <c r="P55" s="7"/>
      <c r="Q55" s="7">
        <v>386560</v>
      </c>
      <c r="R55" s="7">
        <v>399081</v>
      </c>
      <c r="S55" s="7"/>
      <c r="T55" s="7">
        <v>0</v>
      </c>
      <c r="U55" s="17">
        <v>0</v>
      </c>
    </row>
    <row r="56" spans="1:21">
      <c r="A56" t="s">
        <v>50</v>
      </c>
      <c r="B56" s="10">
        <v>6903.5713564493508</v>
      </c>
      <c r="C56" s="7">
        <v>229862.23443366302</v>
      </c>
      <c r="D56" s="7">
        <v>49645.367983782489</v>
      </c>
      <c r="E56" s="7">
        <v>0</v>
      </c>
      <c r="F56" s="17">
        <f t="shared" si="1"/>
        <v>286411.1737738949</v>
      </c>
      <c r="K56" s="10">
        <v>0</v>
      </c>
      <c r="L56" s="7">
        <v>0</v>
      </c>
      <c r="M56" s="7"/>
      <c r="N56" s="7">
        <v>300000</v>
      </c>
      <c r="O56" s="7">
        <v>0</v>
      </c>
      <c r="P56" s="7"/>
      <c r="Q56" s="7">
        <v>0</v>
      </c>
      <c r="R56" s="7">
        <v>0</v>
      </c>
      <c r="S56" s="7"/>
      <c r="T56" s="7">
        <v>0</v>
      </c>
      <c r="U56" s="17">
        <v>0</v>
      </c>
    </row>
    <row r="57" spans="1:21">
      <c r="A57" t="s">
        <v>51</v>
      </c>
      <c r="B57" s="10">
        <v>443.59496238877824</v>
      </c>
      <c r="C57" s="7">
        <v>29744.840586123213</v>
      </c>
      <c r="D57" s="7">
        <v>34126.193906947759</v>
      </c>
      <c r="E57" s="7">
        <v>0</v>
      </c>
      <c r="F57" s="17">
        <f t="shared" si="1"/>
        <v>64314.629455459755</v>
      </c>
      <c r="K57" s="10">
        <v>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1116932.7099003904</v>
      </c>
      <c r="C60" s="7">
        <f>SUM(C6:C58)</f>
        <v>8407647.2304834239</v>
      </c>
      <c r="D60" s="7">
        <f>SUM(D6:D58)</f>
        <v>5568428.169616187</v>
      </c>
      <c r="E60" s="7">
        <f>SUM(E6:E58)</f>
        <v>0</v>
      </c>
      <c r="F60" s="17">
        <f>SUM(F6:F58)</f>
        <v>15093008.110000009</v>
      </c>
      <c r="K60" s="10">
        <f>SUM(K6:K58)</f>
        <v>868884</v>
      </c>
      <c r="L60" s="7">
        <f>SUM(L6:L58)</f>
        <v>258055.07010800001</v>
      </c>
      <c r="M60" s="7"/>
      <c r="N60" s="7">
        <f>SUM(N6:N58)</f>
        <v>5279053</v>
      </c>
      <c r="O60" s="7">
        <f>SUM(O6:O58)</f>
        <v>275536.95542000001</v>
      </c>
      <c r="P60" s="7"/>
      <c r="Q60" s="7">
        <f>SUM(Q6:Q58)</f>
        <v>12212190</v>
      </c>
      <c r="R60" s="7">
        <f>SUM(R6:R58)</f>
        <v>3611951.2544720001</v>
      </c>
      <c r="S60" s="7"/>
      <c r="T60" s="7">
        <f>SUM(T6:T58)</f>
        <v>40</v>
      </c>
      <c r="U60" s="17">
        <f>SUM(U6:U58)</f>
        <v>4</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Italic"Consumers United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257801508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7045.1454187982008</v>
      </c>
      <c r="C13" s="7">
        <v>265806.12429207348</v>
      </c>
      <c r="D13" s="7">
        <v>0</v>
      </c>
      <c r="E13" s="7">
        <v>0</v>
      </c>
      <c r="F13" s="17">
        <f t="shared" si="0"/>
        <v>272851.26971087168</v>
      </c>
      <c r="H13" s="4" t="s">
        <v>67</v>
      </c>
      <c r="I13" s="14">
        <v>164813483</v>
      </c>
      <c r="K13" s="10">
        <v>10000</v>
      </c>
      <c r="L13" s="7">
        <v>0</v>
      </c>
      <c r="M13" s="7"/>
      <c r="N13" s="7">
        <v>345000</v>
      </c>
      <c r="O13" s="7">
        <v>0</v>
      </c>
      <c r="P13" s="7"/>
      <c r="Q13" s="7">
        <v>0</v>
      </c>
      <c r="R13" s="7">
        <v>0</v>
      </c>
      <c r="S13" s="7"/>
      <c r="T13" s="7">
        <v>0</v>
      </c>
      <c r="U13" s="17">
        <v>0</v>
      </c>
    </row>
    <row r="14" spans="1:21">
      <c r="A14" t="s">
        <v>8</v>
      </c>
      <c r="B14" s="10">
        <v>0</v>
      </c>
      <c r="C14" s="7">
        <v>0</v>
      </c>
      <c r="D14" s="7">
        <v>0</v>
      </c>
      <c r="E14" s="7">
        <v>0</v>
      </c>
      <c r="F14" s="17">
        <f t="shared" si="0"/>
        <v>0</v>
      </c>
      <c r="H14" s="4" t="s">
        <v>68</v>
      </c>
      <c r="I14" s="14">
        <v>5801467</v>
      </c>
      <c r="K14" s="10"/>
      <c r="L14" s="7"/>
      <c r="M14" s="7"/>
      <c r="N14" s="7"/>
      <c r="O14" s="7"/>
      <c r="P14" s="7"/>
      <c r="Q14" s="7"/>
      <c r="R14" s="7"/>
      <c r="S14" s="7"/>
      <c r="T14" s="7"/>
      <c r="U14" s="17"/>
    </row>
    <row r="15" spans="1:21">
      <c r="A15" t="s">
        <v>9</v>
      </c>
      <c r="B15" s="10">
        <v>191495.9516039007</v>
      </c>
      <c r="C15" s="7">
        <v>9944233.6157325692</v>
      </c>
      <c r="D15" s="7">
        <v>359837.73693287221</v>
      </c>
      <c r="E15" s="7">
        <v>0</v>
      </c>
      <c r="F15" s="17">
        <f t="shared" si="0"/>
        <v>10495567.304269342</v>
      </c>
      <c r="H15" s="4" t="s">
        <v>69</v>
      </c>
      <c r="I15" s="14">
        <v>0</v>
      </c>
      <c r="K15" s="10">
        <v>1760000</v>
      </c>
      <c r="L15" s="7">
        <v>0</v>
      </c>
      <c r="M15" s="7"/>
      <c r="N15" s="7">
        <v>10400000</v>
      </c>
      <c r="O15" s="7">
        <v>0</v>
      </c>
      <c r="P15" s="7"/>
      <c r="Q15" s="7">
        <v>250000</v>
      </c>
      <c r="R15" s="7">
        <v>0</v>
      </c>
      <c r="S15" s="7"/>
      <c r="T15" s="7">
        <v>0</v>
      </c>
      <c r="U15" s="17">
        <v>0</v>
      </c>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164246959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2338788.8249999997</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88242883.302350014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442800.66989112902</v>
      </c>
      <c r="C26" s="7">
        <v>2047894.8361875582</v>
      </c>
      <c r="D26" s="7">
        <v>4458.755154931474</v>
      </c>
      <c r="E26" s="7">
        <v>0</v>
      </c>
      <c r="F26" s="17">
        <f t="shared" si="0"/>
        <v>2495154.2612336189</v>
      </c>
      <c r="H26" s="4" t="s">
        <v>78</v>
      </c>
      <c r="I26" s="14">
        <f>SUM(I10:I16)-SUM(I19:I24)</f>
        <v>173587826.87265</v>
      </c>
      <c r="K26" s="10">
        <v>3518000</v>
      </c>
      <c r="L26" s="7">
        <v>0</v>
      </c>
      <c r="M26" s="7"/>
      <c r="N26" s="7">
        <v>1982000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173587826.87265003</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1844565.2836090024</v>
      </c>
      <c r="C44" s="7">
        <v>158376487.58018017</v>
      </c>
      <c r="D44" s="7">
        <v>24905.093270529975</v>
      </c>
      <c r="E44" s="7">
        <v>0</v>
      </c>
      <c r="F44" s="17">
        <f t="shared" si="1"/>
        <v>160245957.95705971</v>
      </c>
      <c r="K44" s="10">
        <v>88612897</v>
      </c>
      <c r="L44" s="7">
        <v>0</v>
      </c>
      <c r="M44" s="7"/>
      <c r="N44" s="7">
        <v>63334564</v>
      </c>
      <c r="O44" s="7">
        <v>0</v>
      </c>
      <c r="P44" s="7"/>
      <c r="Q44" s="7">
        <v>0</v>
      </c>
      <c r="R44" s="7">
        <v>0</v>
      </c>
      <c r="S44" s="7"/>
      <c r="T44" s="7">
        <v>67153313</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78296.080376478145</v>
      </c>
      <c r="D57" s="7">
        <v>0</v>
      </c>
      <c r="E57" s="7">
        <v>0</v>
      </c>
      <c r="F57" s="17">
        <f t="shared" si="1"/>
        <v>78296.080376478145</v>
      </c>
      <c r="K57" s="10">
        <v>111616</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2485907.0505228303</v>
      </c>
      <c r="C60" s="7">
        <f>SUM(C6:C58)</f>
        <v>170712718.23676884</v>
      </c>
      <c r="D60" s="7">
        <f>SUM(D6:D58)</f>
        <v>389201.58535833366</v>
      </c>
      <c r="E60" s="7">
        <f>SUM(E6:E58)</f>
        <v>0</v>
      </c>
      <c r="F60" s="17">
        <f>SUM(F6:F58)</f>
        <v>173587826.87265003</v>
      </c>
      <c r="K60" s="10">
        <f>SUM(K6:K58)</f>
        <v>94012513</v>
      </c>
      <c r="L60" s="7">
        <f>SUM(L6:L58)</f>
        <v>0</v>
      </c>
      <c r="M60" s="7"/>
      <c r="N60" s="7">
        <f>SUM(N6:N58)</f>
        <v>76061564</v>
      </c>
      <c r="O60" s="7">
        <f>SUM(O6:O58)</f>
        <v>0</v>
      </c>
      <c r="P60" s="7"/>
      <c r="Q60" s="7">
        <f>SUM(Q6:Q58)</f>
        <v>250000</v>
      </c>
      <c r="R60" s="7">
        <f>SUM(R6:R58)</f>
        <v>0</v>
      </c>
      <c r="S60" s="7"/>
      <c r="T60" s="7">
        <f>SUM(T6:T58)</f>
        <v>67153313</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Italic"Corporate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24810.427042772866</v>
      </c>
      <c r="D6" s="7">
        <v>0</v>
      </c>
      <c r="E6" s="7">
        <v>0</v>
      </c>
      <c r="F6" s="17">
        <f t="shared" ref="F6:F37" si="0">SUM(B6:E6)</f>
        <v>24810.427042772866</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4109900.1583654787</v>
      </c>
      <c r="D8" s="7">
        <v>0</v>
      </c>
      <c r="E8" s="7">
        <v>0</v>
      </c>
      <c r="F8" s="17">
        <f t="shared" si="0"/>
        <v>4109900.1583654787</v>
      </c>
      <c r="H8" s="4" t="s">
        <v>64</v>
      </c>
      <c r="I8" s="13"/>
      <c r="K8" s="10">
        <v>0</v>
      </c>
      <c r="L8" s="7">
        <v>0</v>
      </c>
      <c r="M8" s="7"/>
      <c r="N8" s="7">
        <v>0</v>
      </c>
      <c r="O8" s="7">
        <v>0</v>
      </c>
      <c r="P8" s="7"/>
      <c r="Q8" s="7">
        <v>11693421</v>
      </c>
      <c r="R8" s="7">
        <v>0</v>
      </c>
      <c r="S8" s="7"/>
      <c r="T8" s="7">
        <v>0</v>
      </c>
      <c r="U8" s="17">
        <v>0</v>
      </c>
    </row>
    <row r="9" spans="1:21">
      <c r="A9" t="s">
        <v>3</v>
      </c>
      <c r="B9" s="10">
        <v>0</v>
      </c>
      <c r="C9" s="7">
        <v>515358.45090850117</v>
      </c>
      <c r="D9" s="7">
        <v>0</v>
      </c>
      <c r="E9" s="7">
        <v>0</v>
      </c>
      <c r="F9" s="17">
        <f t="shared" si="0"/>
        <v>515358.45090850117</v>
      </c>
      <c r="H9" s="4"/>
      <c r="I9" s="13"/>
      <c r="K9" s="10">
        <v>27819</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18947440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10857.448034837795</v>
      </c>
      <c r="D13" s="7">
        <v>0</v>
      </c>
      <c r="E13" s="7">
        <v>0</v>
      </c>
      <c r="F13" s="17">
        <f t="shared" si="0"/>
        <v>10857.448034837795</v>
      </c>
      <c r="H13" s="4" t="s">
        <v>67</v>
      </c>
      <c r="I13" s="14">
        <v>67243</v>
      </c>
      <c r="K13" s="10">
        <v>0</v>
      </c>
      <c r="L13" s="7">
        <v>0</v>
      </c>
      <c r="M13" s="7"/>
      <c r="N13" s="7">
        <v>15000</v>
      </c>
      <c r="O13" s="7">
        <v>0</v>
      </c>
      <c r="P13" s="7"/>
      <c r="Q13" s="7">
        <v>25000</v>
      </c>
      <c r="R13" s="7">
        <v>0</v>
      </c>
      <c r="S13" s="7"/>
      <c r="T13" s="7">
        <v>0</v>
      </c>
      <c r="U13" s="17">
        <v>0</v>
      </c>
    </row>
    <row r="14" spans="1:21">
      <c r="A14" t="s">
        <v>8</v>
      </c>
      <c r="B14" s="10">
        <v>0</v>
      </c>
      <c r="C14" s="7">
        <v>0</v>
      </c>
      <c r="D14" s="7">
        <v>0</v>
      </c>
      <c r="E14" s="7">
        <v>0</v>
      </c>
      <c r="F14" s="17">
        <f t="shared" si="0"/>
        <v>0</v>
      </c>
      <c r="H14" s="4" t="s">
        <v>68</v>
      </c>
      <c r="I14" s="14">
        <v>201589</v>
      </c>
      <c r="K14" s="10"/>
      <c r="L14" s="7"/>
      <c r="M14" s="7"/>
      <c r="N14" s="7"/>
      <c r="O14" s="7"/>
      <c r="P14" s="7"/>
      <c r="Q14" s="7"/>
      <c r="R14" s="7"/>
      <c r="S14" s="7"/>
      <c r="T14" s="7"/>
      <c r="U14" s="17"/>
    </row>
    <row r="15" spans="1:21">
      <c r="A15" t="s">
        <v>9</v>
      </c>
      <c r="B15" s="10">
        <v>0</v>
      </c>
      <c r="C15" s="7">
        <v>178748.06807799038</v>
      </c>
      <c r="D15" s="7">
        <v>0</v>
      </c>
      <c r="E15" s="7">
        <v>0</v>
      </c>
      <c r="F15" s="17">
        <f t="shared" si="0"/>
        <v>178748.06807799038</v>
      </c>
      <c r="H15" s="4" t="s">
        <v>69</v>
      </c>
      <c r="I15" s="14">
        <v>756211.87499999988</v>
      </c>
      <c r="K15" s="10"/>
      <c r="L15" s="7"/>
      <c r="M15" s="7"/>
      <c r="N15" s="7"/>
      <c r="O15" s="7"/>
      <c r="P15" s="7"/>
      <c r="Q15" s="7"/>
      <c r="R15" s="7"/>
      <c r="S15" s="7"/>
      <c r="T15" s="7"/>
      <c r="U15" s="17"/>
    </row>
    <row r="16" spans="1:21">
      <c r="A16" t="s">
        <v>10</v>
      </c>
      <c r="B16" s="10">
        <v>0</v>
      </c>
      <c r="C16" s="7">
        <v>-1831.7595792315951</v>
      </c>
      <c r="D16" s="7">
        <v>0</v>
      </c>
      <c r="E16" s="7">
        <v>0</v>
      </c>
      <c r="F16" s="17">
        <f t="shared" si="0"/>
        <v>-1831.7595792315951</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1523789.9914515461</v>
      </c>
      <c r="D19" s="7">
        <v>0</v>
      </c>
      <c r="E19" s="7">
        <v>0</v>
      </c>
      <c r="F19" s="17">
        <f t="shared" si="0"/>
        <v>1523789.9914515461</v>
      </c>
      <c r="H19" s="4" t="s">
        <v>72</v>
      </c>
      <c r="I19" s="14">
        <v>0</v>
      </c>
      <c r="K19" s="10">
        <v>0</v>
      </c>
      <c r="L19" s="7">
        <v>0</v>
      </c>
      <c r="M19" s="7"/>
      <c r="N19" s="7">
        <v>3000000</v>
      </c>
      <c r="O19" s="7">
        <v>1395000</v>
      </c>
      <c r="P19" s="7"/>
      <c r="Q19" s="7">
        <v>0</v>
      </c>
      <c r="R19" s="7">
        <v>0</v>
      </c>
      <c r="S19" s="7"/>
      <c r="T19" s="7">
        <v>0</v>
      </c>
      <c r="U19" s="17">
        <v>0</v>
      </c>
    </row>
    <row r="20" spans="1:21">
      <c r="A20" t="s">
        <v>14</v>
      </c>
      <c r="B20" s="10">
        <v>0</v>
      </c>
      <c r="C20" s="7">
        <v>74993.730538506745</v>
      </c>
      <c r="D20" s="7">
        <v>0</v>
      </c>
      <c r="E20" s="7">
        <v>0</v>
      </c>
      <c r="F20" s="17">
        <f t="shared" si="0"/>
        <v>74993.730538506745</v>
      </c>
      <c r="H20" s="4" t="s">
        <v>73</v>
      </c>
      <c r="I20" s="14">
        <v>-4124280.4800000014</v>
      </c>
      <c r="K20" s="10"/>
      <c r="L20" s="7"/>
      <c r="M20" s="7"/>
      <c r="N20" s="7"/>
      <c r="O20" s="7"/>
      <c r="P20" s="7"/>
      <c r="Q20" s="7"/>
      <c r="R20" s="7"/>
      <c r="S20" s="7"/>
      <c r="T20" s="7"/>
      <c r="U20" s="17"/>
    </row>
    <row r="21" spans="1:21">
      <c r="A21" t="s">
        <v>15</v>
      </c>
      <c r="B21" s="10">
        <v>0</v>
      </c>
      <c r="C21" s="7">
        <v>13324.539991153357</v>
      </c>
      <c r="D21" s="7">
        <v>0</v>
      </c>
      <c r="E21" s="7">
        <v>0</v>
      </c>
      <c r="F21" s="17">
        <f t="shared" si="0"/>
        <v>13324.539991153357</v>
      </c>
      <c r="H21" s="4" t="s">
        <v>74</v>
      </c>
      <c r="I21" s="14"/>
      <c r="K21" s="10">
        <v>0</v>
      </c>
      <c r="L21" s="7">
        <v>0</v>
      </c>
      <c r="M21" s="7"/>
      <c r="N21" s="7">
        <v>24520</v>
      </c>
      <c r="O21" s="7">
        <v>0</v>
      </c>
      <c r="P21" s="7"/>
      <c r="Q21" s="7">
        <v>0</v>
      </c>
      <c r="R21" s="7">
        <v>0</v>
      </c>
      <c r="S21" s="7"/>
      <c r="T21" s="7">
        <v>0</v>
      </c>
      <c r="U21" s="17">
        <v>0</v>
      </c>
    </row>
    <row r="22" spans="1:21">
      <c r="A22" t="s">
        <v>16</v>
      </c>
      <c r="B22" s="10">
        <v>0</v>
      </c>
      <c r="C22" s="7">
        <v>58228.82623535693</v>
      </c>
      <c r="D22" s="7">
        <v>0</v>
      </c>
      <c r="E22" s="7">
        <v>0</v>
      </c>
      <c r="F22" s="17">
        <f t="shared" si="0"/>
        <v>58228.82623535693</v>
      </c>
      <c r="H22" s="4" t="s">
        <v>75</v>
      </c>
      <c r="I22" s="14">
        <v>1000000.0000000001</v>
      </c>
      <c r="K22" s="10"/>
      <c r="L22" s="7"/>
      <c r="M22" s="7"/>
      <c r="N22" s="7"/>
      <c r="O22" s="7"/>
      <c r="P22" s="7"/>
      <c r="Q22" s="7"/>
      <c r="R22" s="7"/>
      <c r="S22" s="7"/>
      <c r="T22" s="7"/>
      <c r="U22" s="17"/>
    </row>
    <row r="23" spans="1:21">
      <c r="A23" t="s">
        <v>17</v>
      </c>
      <c r="B23" s="10">
        <v>0</v>
      </c>
      <c r="C23" s="7">
        <v>96960.369957967385</v>
      </c>
      <c r="D23" s="7">
        <v>0</v>
      </c>
      <c r="E23" s="7">
        <v>0</v>
      </c>
      <c r="F23" s="17">
        <f t="shared" si="0"/>
        <v>96960.369957967385</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11002270.350000005</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66785.764551634886</v>
      </c>
      <c r="D26" s="7">
        <v>0</v>
      </c>
      <c r="E26" s="7">
        <v>0</v>
      </c>
      <c r="F26" s="17">
        <f t="shared" si="0"/>
        <v>66785.764551634886</v>
      </c>
      <c r="H26" s="4" t="s">
        <v>78</v>
      </c>
      <c r="I26" s="14">
        <f>SUM(I10:I16)-SUM(I19:I24)</f>
        <v>12094494.004999995</v>
      </c>
      <c r="K26" s="10">
        <v>130963</v>
      </c>
      <c r="L26" s="7">
        <v>0</v>
      </c>
      <c r="M26" s="7"/>
      <c r="N26" s="7">
        <v>0</v>
      </c>
      <c r="O26" s="7">
        <v>0</v>
      </c>
      <c r="P26" s="7"/>
      <c r="Q26" s="7">
        <v>0</v>
      </c>
      <c r="R26" s="7">
        <v>0</v>
      </c>
      <c r="S26" s="7"/>
      <c r="T26" s="7">
        <v>0</v>
      </c>
      <c r="U26" s="17">
        <v>0</v>
      </c>
    </row>
    <row r="27" spans="1:21">
      <c r="A27" t="s">
        <v>21</v>
      </c>
      <c r="B27" s="10">
        <v>0</v>
      </c>
      <c r="C27" s="7">
        <v>1118.8732049679311</v>
      </c>
      <c r="D27" s="7">
        <v>0</v>
      </c>
      <c r="E27" s="7">
        <v>0</v>
      </c>
      <c r="F27" s="17">
        <f t="shared" si="0"/>
        <v>1118.8732049679311</v>
      </c>
      <c r="H27" s="4" t="s">
        <v>79</v>
      </c>
      <c r="I27" s="14">
        <f>+F60</f>
        <v>12094494.004500002</v>
      </c>
      <c r="K27" s="10"/>
      <c r="L27" s="7"/>
      <c r="M27" s="7"/>
      <c r="N27" s="7"/>
      <c r="O27" s="7"/>
      <c r="P27" s="7"/>
      <c r="Q27" s="7"/>
      <c r="R27" s="7"/>
      <c r="S27" s="7"/>
      <c r="T27" s="7"/>
      <c r="U27" s="17"/>
    </row>
    <row r="28" spans="1:21">
      <c r="A28" t="s">
        <v>22</v>
      </c>
      <c r="B28" s="10">
        <v>0</v>
      </c>
      <c r="C28" s="7">
        <v>45590.400108411101</v>
      </c>
      <c r="D28" s="7">
        <v>0</v>
      </c>
      <c r="E28" s="7">
        <v>0</v>
      </c>
      <c r="F28" s="17">
        <f t="shared" si="0"/>
        <v>45590.400108411101</v>
      </c>
      <c r="H28" s="23"/>
      <c r="I28" s="25"/>
      <c r="K28" s="10"/>
      <c r="L28" s="7"/>
      <c r="M28" s="7"/>
      <c r="N28" s="7"/>
      <c r="O28" s="7"/>
      <c r="P28" s="7"/>
      <c r="Q28" s="7"/>
      <c r="R28" s="7"/>
      <c r="S28" s="7"/>
      <c r="T28" s="7"/>
      <c r="U28" s="17"/>
    </row>
    <row r="29" spans="1:21">
      <c r="A29" t="s">
        <v>23</v>
      </c>
      <c r="B29" s="10">
        <v>0</v>
      </c>
      <c r="C29" s="7">
        <v>15623.69105961178</v>
      </c>
      <c r="D29" s="7">
        <v>0</v>
      </c>
      <c r="E29" s="7">
        <v>0</v>
      </c>
      <c r="F29" s="17">
        <f t="shared" si="0"/>
        <v>15623.69105961178</v>
      </c>
      <c r="K29" s="10">
        <v>0</v>
      </c>
      <c r="L29" s="7">
        <v>0</v>
      </c>
      <c r="M29" s="7"/>
      <c r="N29" s="7">
        <v>56000</v>
      </c>
      <c r="O29" s="7">
        <v>0</v>
      </c>
      <c r="P29" s="7"/>
      <c r="Q29" s="7">
        <v>0</v>
      </c>
      <c r="R29" s="7">
        <v>0</v>
      </c>
      <c r="S29" s="7"/>
      <c r="T29" s="7">
        <v>0</v>
      </c>
      <c r="U29" s="17">
        <v>0</v>
      </c>
    </row>
    <row r="30" spans="1:21">
      <c r="A30" t="s">
        <v>24</v>
      </c>
      <c r="B30" s="10">
        <v>0</v>
      </c>
      <c r="C30" s="7">
        <v>48556.219189215648</v>
      </c>
      <c r="D30" s="7">
        <v>0</v>
      </c>
      <c r="E30" s="7">
        <v>0</v>
      </c>
      <c r="F30" s="17">
        <f t="shared" si="0"/>
        <v>48556.219189215648</v>
      </c>
      <c r="K30" s="10">
        <v>297</v>
      </c>
      <c r="L30" s="7">
        <v>0</v>
      </c>
      <c r="M30" s="7"/>
      <c r="N30" s="7">
        <v>0</v>
      </c>
      <c r="O30" s="7">
        <v>0</v>
      </c>
      <c r="P30" s="7"/>
      <c r="Q30" s="7">
        <v>4703</v>
      </c>
      <c r="R30" s="7">
        <v>0</v>
      </c>
      <c r="S30" s="7"/>
      <c r="T30" s="7">
        <v>0</v>
      </c>
      <c r="U30" s="17">
        <v>0</v>
      </c>
    </row>
    <row r="31" spans="1:21">
      <c r="A31" t="s">
        <v>25</v>
      </c>
      <c r="B31" s="10">
        <v>0</v>
      </c>
      <c r="C31" s="7">
        <v>407374.43190909445</v>
      </c>
      <c r="D31" s="7">
        <v>0</v>
      </c>
      <c r="E31" s="7">
        <v>0</v>
      </c>
      <c r="F31" s="17">
        <f t="shared" si="0"/>
        <v>407374.43190909445</v>
      </c>
      <c r="K31" s="10">
        <v>0</v>
      </c>
      <c r="L31" s="7">
        <v>0</v>
      </c>
      <c r="M31" s="7"/>
      <c r="N31" s="7">
        <v>1449393</v>
      </c>
      <c r="O31" s="7">
        <v>0</v>
      </c>
      <c r="P31" s="7"/>
      <c r="Q31" s="7">
        <v>0</v>
      </c>
      <c r="R31" s="7">
        <v>0</v>
      </c>
      <c r="S31" s="7"/>
      <c r="T31" s="7">
        <v>0</v>
      </c>
      <c r="U31" s="17">
        <v>0</v>
      </c>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21490.495409384639</v>
      </c>
      <c r="D34" s="7">
        <v>0</v>
      </c>
      <c r="E34" s="7">
        <v>0</v>
      </c>
      <c r="F34" s="17">
        <f t="shared" si="0"/>
        <v>21490.495409384639</v>
      </c>
      <c r="K34" s="10">
        <v>0</v>
      </c>
      <c r="L34" s="7">
        <v>0</v>
      </c>
      <c r="M34" s="7"/>
      <c r="N34" s="7">
        <v>35100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1266.5941590487464</v>
      </c>
      <c r="D39" s="7">
        <v>0</v>
      </c>
      <c r="E39" s="7">
        <v>0</v>
      </c>
      <c r="F39" s="17">
        <f t="shared" si="1"/>
        <v>1266.5941590487464</v>
      </c>
      <c r="K39" s="10"/>
      <c r="L39" s="7"/>
      <c r="M39" s="7"/>
      <c r="N39" s="7"/>
      <c r="O39" s="7"/>
      <c r="P39" s="7"/>
      <c r="Q39" s="7"/>
      <c r="R39" s="7"/>
      <c r="S39" s="7"/>
      <c r="T39" s="7"/>
      <c r="U39" s="17"/>
    </row>
    <row r="40" spans="1:21">
      <c r="A40" t="s">
        <v>34</v>
      </c>
      <c r="B40" s="10">
        <v>0</v>
      </c>
      <c r="C40" s="7">
        <v>60819.598280006801</v>
      </c>
      <c r="D40" s="7">
        <v>0</v>
      </c>
      <c r="E40" s="7">
        <v>0</v>
      </c>
      <c r="F40" s="17">
        <f t="shared" si="1"/>
        <v>60819.598280006801</v>
      </c>
      <c r="K40" s="10">
        <v>0</v>
      </c>
      <c r="L40" s="7">
        <v>0</v>
      </c>
      <c r="M40" s="7"/>
      <c r="N40" s="7">
        <v>146270</v>
      </c>
      <c r="O40" s="7">
        <v>0</v>
      </c>
      <c r="P40" s="7"/>
      <c r="Q40" s="7">
        <v>0</v>
      </c>
      <c r="R40" s="7">
        <v>0</v>
      </c>
      <c r="S40" s="7"/>
      <c r="T40" s="7">
        <v>0</v>
      </c>
      <c r="U40" s="17">
        <v>0</v>
      </c>
    </row>
    <row r="41" spans="1:21">
      <c r="A41" t="s">
        <v>35</v>
      </c>
      <c r="B41" s="10">
        <v>0</v>
      </c>
      <c r="C41" s="7">
        <v>112508.93758928885</v>
      </c>
      <c r="D41" s="7">
        <v>0</v>
      </c>
      <c r="E41" s="7">
        <v>0</v>
      </c>
      <c r="F41" s="17">
        <f t="shared" si="1"/>
        <v>112508.93758928885</v>
      </c>
      <c r="K41" s="10"/>
      <c r="L41" s="7"/>
      <c r="M41" s="7"/>
      <c r="N41" s="7"/>
      <c r="O41" s="7"/>
      <c r="P41" s="7"/>
      <c r="Q41" s="7"/>
      <c r="R41" s="7"/>
      <c r="S41" s="7"/>
      <c r="T41" s="7"/>
      <c r="U41" s="17"/>
    </row>
    <row r="42" spans="1:21">
      <c r="A42" t="s">
        <v>36</v>
      </c>
      <c r="B42" s="10">
        <v>0</v>
      </c>
      <c r="C42" s="7">
        <v>248144.36766354006</v>
      </c>
      <c r="D42" s="7">
        <v>0</v>
      </c>
      <c r="E42" s="7">
        <v>0</v>
      </c>
      <c r="F42" s="17">
        <f t="shared" si="1"/>
        <v>248144.36766354006</v>
      </c>
      <c r="K42" s="10">
        <v>0</v>
      </c>
      <c r="L42" s="7">
        <v>0</v>
      </c>
      <c r="M42" s="7"/>
      <c r="N42" s="7">
        <v>602500</v>
      </c>
      <c r="O42" s="7">
        <v>150000</v>
      </c>
      <c r="P42" s="7"/>
      <c r="Q42" s="7">
        <v>0</v>
      </c>
      <c r="R42" s="7">
        <v>0</v>
      </c>
      <c r="S42" s="7"/>
      <c r="T42" s="7">
        <v>0</v>
      </c>
      <c r="U42" s="17">
        <v>0</v>
      </c>
    </row>
    <row r="43" spans="1:21">
      <c r="A43" t="s">
        <v>37</v>
      </c>
      <c r="B43" s="10">
        <v>0</v>
      </c>
      <c r="C43" s="7">
        <v>97875.814581093713</v>
      </c>
      <c r="D43" s="7">
        <v>0</v>
      </c>
      <c r="E43" s="7">
        <v>0</v>
      </c>
      <c r="F43" s="17">
        <f t="shared" si="1"/>
        <v>97875.814581093713</v>
      </c>
      <c r="K43" s="10"/>
      <c r="L43" s="7"/>
      <c r="M43" s="7"/>
      <c r="N43" s="7"/>
      <c r="O43" s="7"/>
      <c r="P43" s="7"/>
      <c r="Q43" s="7"/>
      <c r="R43" s="7"/>
      <c r="S43" s="7"/>
      <c r="T43" s="7"/>
      <c r="U43" s="17"/>
    </row>
    <row r="44" spans="1:21">
      <c r="A44" t="s">
        <v>38</v>
      </c>
      <c r="B44" s="10">
        <v>0</v>
      </c>
      <c r="C44" s="7">
        <v>3874804.1583654783</v>
      </c>
      <c r="D44" s="7">
        <v>0</v>
      </c>
      <c r="E44" s="7">
        <v>0</v>
      </c>
      <c r="F44" s="17">
        <f t="shared" si="1"/>
        <v>3874804.1583654783</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23005.600524869897</v>
      </c>
      <c r="D48" s="7">
        <v>0</v>
      </c>
      <c r="E48" s="7">
        <v>0</v>
      </c>
      <c r="F48" s="17">
        <f t="shared" si="1"/>
        <v>23005.600524869897</v>
      </c>
      <c r="K48" s="10">
        <v>0</v>
      </c>
      <c r="L48" s="7">
        <v>0</v>
      </c>
      <c r="M48" s="7"/>
      <c r="N48" s="7">
        <v>25712</v>
      </c>
      <c r="O48" s="7">
        <v>0</v>
      </c>
      <c r="P48" s="7"/>
      <c r="Q48" s="7">
        <v>0</v>
      </c>
      <c r="R48" s="7">
        <v>0</v>
      </c>
      <c r="S48" s="7"/>
      <c r="T48" s="7">
        <v>0</v>
      </c>
      <c r="U48" s="17">
        <v>0</v>
      </c>
    </row>
    <row r="49" spans="1:21">
      <c r="A49" t="s">
        <v>43</v>
      </c>
      <c r="B49" s="10">
        <v>0</v>
      </c>
      <c r="C49" s="7">
        <v>129913.96275928272</v>
      </c>
      <c r="D49" s="7">
        <v>0</v>
      </c>
      <c r="E49" s="7">
        <v>0</v>
      </c>
      <c r="F49" s="17">
        <f t="shared" si="1"/>
        <v>129913.96275928272</v>
      </c>
      <c r="K49" s="10">
        <v>0</v>
      </c>
      <c r="L49" s="7">
        <v>0</v>
      </c>
      <c r="M49" s="7"/>
      <c r="N49" s="7">
        <v>325000</v>
      </c>
      <c r="O49" s="7">
        <v>0</v>
      </c>
      <c r="P49" s="7"/>
      <c r="Q49" s="7">
        <v>0</v>
      </c>
      <c r="R49" s="7">
        <v>0</v>
      </c>
      <c r="S49" s="7"/>
      <c r="T49" s="7">
        <v>0</v>
      </c>
      <c r="U49" s="17">
        <v>0</v>
      </c>
    </row>
    <row r="50" spans="1:21">
      <c r="A50" t="s">
        <v>44</v>
      </c>
      <c r="B50" s="10">
        <v>0</v>
      </c>
      <c r="C50" s="7">
        <v>163183.72902528939</v>
      </c>
      <c r="D50" s="7">
        <v>0</v>
      </c>
      <c r="E50" s="7">
        <v>0</v>
      </c>
      <c r="F50" s="17">
        <f t="shared" si="1"/>
        <v>163183.72902528939</v>
      </c>
      <c r="K50" s="10">
        <v>17723</v>
      </c>
      <c r="L50" s="7">
        <v>237.5558</v>
      </c>
      <c r="M50" s="7"/>
      <c r="N50" s="7">
        <v>0</v>
      </c>
      <c r="O50" s="7">
        <v>0</v>
      </c>
      <c r="P50" s="7"/>
      <c r="Q50" s="7">
        <v>280946</v>
      </c>
      <c r="R50" s="7">
        <v>3768.4441999999999</v>
      </c>
      <c r="S50" s="7"/>
      <c r="T50" s="7">
        <v>0</v>
      </c>
      <c r="U50" s="17">
        <v>0</v>
      </c>
    </row>
    <row r="51" spans="1:21">
      <c r="A51" t="s">
        <v>45</v>
      </c>
      <c r="B51" s="10">
        <v>0</v>
      </c>
      <c r="C51" s="7">
        <v>14642.491192019748</v>
      </c>
      <c r="D51" s="7">
        <v>0</v>
      </c>
      <c r="E51" s="7">
        <v>0</v>
      </c>
      <c r="F51" s="17">
        <f t="shared" si="1"/>
        <v>14642.491192019748</v>
      </c>
      <c r="K51" s="10">
        <v>0</v>
      </c>
      <c r="L51" s="7">
        <v>0</v>
      </c>
      <c r="M51" s="7"/>
      <c r="N51" s="7">
        <v>28000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9374.4395127208445</v>
      </c>
      <c r="D53" s="7">
        <v>0</v>
      </c>
      <c r="E53" s="7">
        <v>0</v>
      </c>
      <c r="F53" s="17">
        <f t="shared" si="1"/>
        <v>9374.4395127208445</v>
      </c>
      <c r="K53" s="10"/>
      <c r="L53" s="7"/>
      <c r="M53" s="7"/>
      <c r="N53" s="7"/>
      <c r="O53" s="7"/>
      <c r="P53" s="7"/>
      <c r="Q53" s="7"/>
      <c r="R53" s="7"/>
      <c r="S53" s="7"/>
      <c r="T53" s="7"/>
      <c r="U53" s="17"/>
    </row>
    <row r="54" spans="1:21">
      <c r="A54" t="s">
        <v>48</v>
      </c>
      <c r="B54" s="10">
        <v>0</v>
      </c>
      <c r="C54" s="7">
        <v>59489.962001159271</v>
      </c>
      <c r="D54" s="7">
        <v>0</v>
      </c>
      <c r="E54" s="7">
        <v>0</v>
      </c>
      <c r="F54" s="17">
        <f t="shared" si="1"/>
        <v>59489.962001159271</v>
      </c>
      <c r="K54" s="10">
        <v>0</v>
      </c>
      <c r="L54" s="7">
        <v>0</v>
      </c>
      <c r="M54" s="7"/>
      <c r="N54" s="7">
        <v>100000</v>
      </c>
      <c r="O54" s="7">
        <v>0</v>
      </c>
      <c r="P54" s="7"/>
      <c r="Q54" s="7">
        <v>0</v>
      </c>
      <c r="R54" s="7">
        <v>0</v>
      </c>
      <c r="S54" s="7"/>
      <c r="T54" s="7">
        <v>0</v>
      </c>
      <c r="U54" s="17">
        <v>0</v>
      </c>
    </row>
    <row r="55" spans="1:21">
      <c r="A55" t="s">
        <v>49</v>
      </c>
      <c r="B55" s="10">
        <v>0</v>
      </c>
      <c r="C55" s="7">
        <v>-37368</v>
      </c>
      <c r="D55" s="7">
        <v>0</v>
      </c>
      <c r="E55" s="7">
        <v>0</v>
      </c>
      <c r="F55" s="17">
        <f t="shared" si="1"/>
        <v>-37368</v>
      </c>
      <c r="K55" s="10">
        <v>0</v>
      </c>
      <c r="L55" s="7">
        <v>0</v>
      </c>
      <c r="M55" s="7"/>
      <c r="N55" s="7">
        <v>0</v>
      </c>
      <c r="O55" s="7">
        <v>0</v>
      </c>
      <c r="P55" s="7"/>
      <c r="Q55" s="7">
        <v>0</v>
      </c>
      <c r="R55" s="7">
        <v>82075</v>
      </c>
      <c r="S55" s="7"/>
      <c r="T55" s="7">
        <v>0</v>
      </c>
      <c r="U55" s="17">
        <v>0</v>
      </c>
    </row>
    <row r="56" spans="1:21">
      <c r="A56" t="s">
        <v>50</v>
      </c>
      <c r="B56" s="10">
        <v>0</v>
      </c>
      <c r="C56" s="7">
        <v>125152.22238900143</v>
      </c>
      <c r="D56" s="7">
        <v>0</v>
      </c>
      <c r="E56" s="7">
        <v>0</v>
      </c>
      <c r="F56" s="17">
        <f t="shared" si="1"/>
        <v>125152.22238900143</v>
      </c>
      <c r="K56" s="10">
        <v>0</v>
      </c>
      <c r="L56" s="7">
        <v>0</v>
      </c>
      <c r="M56" s="7"/>
      <c r="N56" s="7">
        <v>150000</v>
      </c>
      <c r="O56" s="7">
        <v>0</v>
      </c>
      <c r="P56" s="7"/>
      <c r="Q56" s="7">
        <v>0</v>
      </c>
      <c r="R56" s="7">
        <v>0</v>
      </c>
      <c r="S56" s="7"/>
      <c r="T56" s="7">
        <v>0</v>
      </c>
      <c r="U56" s="17">
        <v>0</v>
      </c>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12094494.004500002</v>
      </c>
      <c r="D60" s="7">
        <f>SUM(D6:D58)</f>
        <v>0</v>
      </c>
      <c r="E60" s="7">
        <f>SUM(E6:E58)</f>
        <v>0</v>
      </c>
      <c r="F60" s="17">
        <f>SUM(F6:F58)</f>
        <v>12094494.004500002</v>
      </c>
      <c r="K60" s="10">
        <f>SUM(K6:K58)</f>
        <v>176802</v>
      </c>
      <c r="L60" s="7">
        <f>SUM(L6:L58)</f>
        <v>237.5558</v>
      </c>
      <c r="M60" s="7"/>
      <c r="N60" s="7">
        <f>SUM(N6:N58)</f>
        <v>5957495</v>
      </c>
      <c r="O60" s="7">
        <f>SUM(O6:O58)</f>
        <v>1545000</v>
      </c>
      <c r="P60" s="7"/>
      <c r="Q60" s="7">
        <f>SUM(Q6:Q58)</f>
        <v>12004070</v>
      </c>
      <c r="R60" s="7">
        <f>SUM(R6:R58)</f>
        <v>85843.444199999998</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Italic"Diamond Benefits Life Insurance Company/LACOP&amp;R&amp;"Geneva,Bold"UNAUDITED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27362577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3224585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124000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77699.209999999992</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3062120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727741</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12675123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14323877.210000001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14323877.210000001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11195211.308470907</v>
      </c>
      <c r="C44" s="7">
        <v>3128665.9015290942</v>
      </c>
      <c r="D44" s="7">
        <v>0</v>
      </c>
      <c r="E44" s="7">
        <v>0</v>
      </c>
      <c r="F44" s="17">
        <f t="shared" si="1"/>
        <v>14323877.210000001</v>
      </c>
      <c r="K44" s="10">
        <v>32000000</v>
      </c>
      <c r="L44" s="7">
        <v>0</v>
      </c>
      <c r="M44" s="7"/>
      <c r="N44" s="7">
        <v>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11195211.308470907</v>
      </c>
      <c r="C60" s="7">
        <f>SUM(C6:C58)</f>
        <v>3128665.9015290942</v>
      </c>
      <c r="D60" s="7">
        <f>SUM(D6:D58)</f>
        <v>0</v>
      </c>
      <c r="E60" s="7">
        <f>SUM(E6:E58)</f>
        <v>0</v>
      </c>
      <c r="F60" s="17">
        <f>SUM(F6:F58)</f>
        <v>14323877.210000001</v>
      </c>
      <c r="K60" s="10">
        <f>SUM(K6:K58)</f>
        <v>32000000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Italic"EBL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11731696.194416165</v>
      </c>
      <c r="C6" s="7">
        <v>21876740.735411901</v>
      </c>
      <c r="D6" s="7">
        <v>0</v>
      </c>
      <c r="E6" s="7">
        <v>0</v>
      </c>
      <c r="F6" s="17">
        <f t="shared" ref="F6:F37" si="0">SUM(B6:E6)</f>
        <v>33608436.929828063</v>
      </c>
      <c r="K6" s="10">
        <v>9940029</v>
      </c>
      <c r="L6" s="7">
        <v>0</v>
      </c>
      <c r="M6" s="7"/>
      <c r="N6" s="7">
        <v>30931066</v>
      </c>
      <c r="O6" s="7">
        <v>0</v>
      </c>
      <c r="P6" s="7"/>
      <c r="Q6" s="7">
        <v>0</v>
      </c>
      <c r="R6" s="7">
        <v>0</v>
      </c>
      <c r="S6" s="7"/>
      <c r="T6" s="7">
        <v>0</v>
      </c>
      <c r="U6" s="17">
        <v>0</v>
      </c>
    </row>
    <row r="7" spans="1:21">
      <c r="A7" t="s">
        <v>1</v>
      </c>
      <c r="B7" s="10">
        <v>547513.87209630338</v>
      </c>
      <c r="C7" s="7">
        <v>5731555.9971313598</v>
      </c>
      <c r="D7" s="7">
        <v>0</v>
      </c>
      <c r="E7" s="7">
        <v>0</v>
      </c>
      <c r="F7" s="17">
        <f t="shared" si="0"/>
        <v>6279069.8692276627</v>
      </c>
      <c r="H7" s="22"/>
      <c r="I7" s="24"/>
      <c r="K7" s="10">
        <v>1345741</v>
      </c>
      <c r="L7" s="7">
        <v>0</v>
      </c>
      <c r="M7" s="7"/>
      <c r="N7" s="7">
        <v>4826029</v>
      </c>
      <c r="O7" s="7">
        <v>0</v>
      </c>
      <c r="P7" s="7"/>
      <c r="Q7" s="7">
        <v>0</v>
      </c>
      <c r="R7" s="7">
        <v>0</v>
      </c>
      <c r="S7" s="7"/>
      <c r="T7" s="7">
        <v>2422325</v>
      </c>
      <c r="U7" s="17">
        <v>0</v>
      </c>
    </row>
    <row r="8" spans="1:21">
      <c r="A8" t="s">
        <v>2</v>
      </c>
      <c r="B8" s="10">
        <v>18631949.147880282</v>
      </c>
      <c r="C8" s="7">
        <v>24030082.814341918</v>
      </c>
      <c r="D8" s="7">
        <v>0</v>
      </c>
      <c r="E8" s="7">
        <v>0</v>
      </c>
      <c r="F8" s="17">
        <f t="shared" si="0"/>
        <v>42662031.962222204</v>
      </c>
      <c r="H8" s="4" t="s">
        <v>64</v>
      </c>
      <c r="I8" s="13"/>
      <c r="K8" s="10">
        <v>31372236</v>
      </c>
      <c r="L8" s="7">
        <v>0</v>
      </c>
      <c r="M8" s="7"/>
      <c r="N8" s="7">
        <v>24082717</v>
      </c>
      <c r="O8" s="7">
        <v>0</v>
      </c>
      <c r="P8" s="7"/>
      <c r="Q8" s="7">
        <v>0</v>
      </c>
      <c r="R8" s="7">
        <v>0</v>
      </c>
      <c r="S8" s="7"/>
      <c r="T8" s="7">
        <v>0</v>
      </c>
      <c r="U8" s="17">
        <v>0</v>
      </c>
    </row>
    <row r="9" spans="1:21">
      <c r="A9" t="s">
        <v>3</v>
      </c>
      <c r="B9" s="10">
        <v>10598740.003170466</v>
      </c>
      <c r="C9" s="7">
        <v>6195063.6269856142</v>
      </c>
      <c r="D9" s="7">
        <v>0</v>
      </c>
      <c r="E9" s="7">
        <v>52257.422253033496</v>
      </c>
      <c r="F9" s="17">
        <f t="shared" si="0"/>
        <v>16846061.052409116</v>
      </c>
      <c r="H9" s="4"/>
      <c r="I9" s="13"/>
      <c r="K9" s="10">
        <v>14808588</v>
      </c>
      <c r="L9" s="7">
        <v>0</v>
      </c>
      <c r="M9" s="7"/>
      <c r="N9" s="7">
        <v>0</v>
      </c>
      <c r="O9" s="7">
        <v>0</v>
      </c>
      <c r="P9" s="7"/>
      <c r="Q9" s="7">
        <v>0</v>
      </c>
      <c r="R9" s="7">
        <v>0</v>
      </c>
      <c r="S9" s="7"/>
      <c r="T9" s="7">
        <v>0</v>
      </c>
      <c r="U9" s="17">
        <v>0</v>
      </c>
    </row>
    <row r="10" spans="1:21">
      <c r="A10" t="s">
        <v>4</v>
      </c>
      <c r="B10" s="10">
        <v>274650665.6610136</v>
      </c>
      <c r="C10" s="7">
        <v>452929329.46815801</v>
      </c>
      <c r="D10" s="7">
        <v>0</v>
      </c>
      <c r="E10" s="7">
        <v>0</v>
      </c>
      <c r="F10" s="17">
        <f t="shared" si="0"/>
        <v>727579995.12917161</v>
      </c>
      <c r="H10" s="4" t="s">
        <v>65</v>
      </c>
      <c r="I10" s="14">
        <v>5685962584.0988932</v>
      </c>
      <c r="K10" s="10">
        <v>233293661</v>
      </c>
      <c r="L10" s="7">
        <v>0</v>
      </c>
      <c r="M10" s="7"/>
      <c r="N10" s="7">
        <v>359401833</v>
      </c>
      <c r="O10" s="7">
        <v>0</v>
      </c>
      <c r="P10" s="7"/>
      <c r="Q10" s="7">
        <v>0</v>
      </c>
      <c r="R10" s="7">
        <v>0</v>
      </c>
      <c r="S10" s="7"/>
      <c r="T10" s="7">
        <v>0</v>
      </c>
      <c r="U10" s="17">
        <v>0</v>
      </c>
    </row>
    <row r="11" spans="1:21">
      <c r="A11" t="s">
        <v>5</v>
      </c>
      <c r="B11" s="10">
        <v>0</v>
      </c>
      <c r="C11" s="7">
        <v>0</v>
      </c>
      <c r="D11" s="7">
        <v>0</v>
      </c>
      <c r="E11" s="7">
        <v>0</v>
      </c>
      <c r="F11" s="17">
        <f t="shared" si="0"/>
        <v>0</v>
      </c>
      <c r="H11" s="4"/>
      <c r="I11" s="14"/>
      <c r="K11" s="10">
        <v>170383</v>
      </c>
      <c r="L11" s="7">
        <v>0</v>
      </c>
      <c r="M11" s="7"/>
      <c r="N11" s="7">
        <v>82023</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4022703.315017506</v>
      </c>
      <c r="C13" s="7">
        <v>4154329.5672946926</v>
      </c>
      <c r="D13" s="7">
        <v>0</v>
      </c>
      <c r="E13" s="7">
        <v>101460.04097313641</v>
      </c>
      <c r="F13" s="17">
        <f t="shared" si="0"/>
        <v>8278492.9232853353</v>
      </c>
      <c r="H13" s="4" t="s">
        <v>67</v>
      </c>
      <c r="I13" s="14">
        <v>0</v>
      </c>
      <c r="K13" s="10">
        <v>3589600</v>
      </c>
      <c r="L13" s="7">
        <v>0</v>
      </c>
      <c r="M13" s="7"/>
      <c r="N13" s="7">
        <v>2732400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98879805.824801281</v>
      </c>
      <c r="C15" s="7">
        <v>106665792.61829814</v>
      </c>
      <c r="D15" s="7">
        <v>0</v>
      </c>
      <c r="E15" s="7">
        <v>0</v>
      </c>
      <c r="F15" s="17">
        <f t="shared" si="0"/>
        <v>205545598.44309944</v>
      </c>
      <c r="H15" s="4" t="s">
        <v>69</v>
      </c>
      <c r="I15" s="14">
        <v>59505571.607000031</v>
      </c>
      <c r="K15" s="10">
        <v>87789821</v>
      </c>
      <c r="L15" s="7">
        <v>0</v>
      </c>
      <c r="M15" s="7"/>
      <c r="N15" s="7">
        <v>73201598</v>
      </c>
      <c r="O15" s="7">
        <v>0</v>
      </c>
      <c r="P15" s="7"/>
      <c r="Q15" s="7">
        <v>0</v>
      </c>
      <c r="R15" s="7">
        <v>0</v>
      </c>
      <c r="S15" s="7"/>
      <c r="T15" s="7">
        <v>0</v>
      </c>
      <c r="U15" s="17">
        <v>0</v>
      </c>
    </row>
    <row r="16" spans="1:21">
      <c r="A16" t="s">
        <v>10</v>
      </c>
      <c r="B16" s="10">
        <v>26357079.305187445</v>
      </c>
      <c r="C16" s="7">
        <v>24415740.53118138</v>
      </c>
      <c r="D16" s="7">
        <v>0</v>
      </c>
      <c r="E16" s="7">
        <v>2276587.2941326033</v>
      </c>
      <c r="F16" s="17">
        <f t="shared" si="0"/>
        <v>53049407.130501434</v>
      </c>
      <c r="H16" s="4" t="s">
        <v>70</v>
      </c>
      <c r="I16" s="14">
        <v>39036362.126586393</v>
      </c>
      <c r="K16" s="10">
        <v>28136713</v>
      </c>
      <c r="L16" s="7">
        <v>0</v>
      </c>
      <c r="M16" s="7"/>
      <c r="N16" s="7">
        <v>21179159</v>
      </c>
      <c r="O16" s="7">
        <v>-1835.55</v>
      </c>
      <c r="P16" s="7"/>
      <c r="Q16" s="7">
        <v>0</v>
      </c>
      <c r="R16" s="7">
        <v>0</v>
      </c>
      <c r="S16" s="7"/>
      <c r="T16" s="7">
        <v>2823555</v>
      </c>
      <c r="U16" s="17">
        <v>-30473.18</v>
      </c>
    </row>
    <row r="17" spans="1:21">
      <c r="A17" t="s">
        <v>11</v>
      </c>
      <c r="B17" s="10">
        <v>26557320.428965963</v>
      </c>
      <c r="C17" s="7">
        <v>17127513.993165158</v>
      </c>
      <c r="D17" s="7">
        <v>0</v>
      </c>
      <c r="E17" s="7">
        <v>0</v>
      </c>
      <c r="F17" s="17">
        <f t="shared" si="0"/>
        <v>43684834.422131121</v>
      </c>
      <c r="H17" s="4"/>
      <c r="I17" s="14"/>
      <c r="K17" s="10">
        <v>17380590</v>
      </c>
      <c r="L17" s="7">
        <v>0</v>
      </c>
      <c r="M17" s="7"/>
      <c r="N17" s="7">
        <v>18866415</v>
      </c>
      <c r="O17" s="7">
        <v>4340797</v>
      </c>
      <c r="P17" s="7"/>
      <c r="Q17" s="7">
        <v>0</v>
      </c>
      <c r="R17" s="7">
        <v>0</v>
      </c>
      <c r="S17" s="7"/>
      <c r="T17" s="7">
        <v>0</v>
      </c>
      <c r="U17" s="17">
        <v>0</v>
      </c>
    </row>
    <row r="18" spans="1:21">
      <c r="A18" t="s">
        <v>12</v>
      </c>
      <c r="B18" s="10">
        <v>7798707.4072385002</v>
      </c>
      <c r="C18" s="7">
        <v>8307809.771425616</v>
      </c>
      <c r="D18" s="7">
        <v>0</v>
      </c>
      <c r="E18" s="7">
        <v>0</v>
      </c>
      <c r="F18" s="17">
        <f t="shared" si="0"/>
        <v>16106517.178664116</v>
      </c>
      <c r="H18" s="4" t="s">
        <v>71</v>
      </c>
      <c r="I18" s="14"/>
      <c r="K18" s="10">
        <v>5900065</v>
      </c>
      <c r="L18" s="7">
        <v>0</v>
      </c>
      <c r="M18" s="7"/>
      <c r="N18" s="7">
        <v>5870051</v>
      </c>
      <c r="O18" s="7">
        <v>0</v>
      </c>
      <c r="P18" s="7"/>
      <c r="Q18" s="7">
        <v>0</v>
      </c>
      <c r="R18" s="7">
        <v>0</v>
      </c>
      <c r="S18" s="7"/>
      <c r="T18" s="7">
        <v>0</v>
      </c>
      <c r="U18" s="17">
        <v>0</v>
      </c>
    </row>
    <row r="19" spans="1:21">
      <c r="A19" t="s">
        <v>13</v>
      </c>
      <c r="B19" s="10">
        <v>75372599.339154959</v>
      </c>
      <c r="C19" s="7">
        <v>106899076.96914209</v>
      </c>
      <c r="D19" s="7">
        <v>0</v>
      </c>
      <c r="E19" s="7">
        <v>6406061.9074089788</v>
      </c>
      <c r="F19" s="17">
        <f t="shared" si="0"/>
        <v>188677738.21570602</v>
      </c>
      <c r="H19" s="4" t="s">
        <v>72</v>
      </c>
      <c r="I19" s="14">
        <v>2380406620.2046242</v>
      </c>
      <c r="K19" s="10">
        <v>95382738</v>
      </c>
      <c r="L19" s="7">
        <v>0</v>
      </c>
      <c r="M19" s="7"/>
      <c r="N19" s="7">
        <v>85736147</v>
      </c>
      <c r="O19" s="7">
        <v>28000000</v>
      </c>
      <c r="P19" s="7"/>
      <c r="Q19" s="7">
        <v>0</v>
      </c>
      <c r="R19" s="7">
        <v>0</v>
      </c>
      <c r="S19" s="7"/>
      <c r="T19" s="7">
        <v>31410410</v>
      </c>
      <c r="U19" s="17">
        <v>20700000</v>
      </c>
    </row>
    <row r="20" spans="1:21">
      <c r="A20" t="s">
        <v>14</v>
      </c>
      <c r="B20" s="10">
        <v>14631751.518513301</v>
      </c>
      <c r="C20" s="7">
        <v>27288542.309504189</v>
      </c>
      <c r="D20" s="7">
        <v>0</v>
      </c>
      <c r="E20" s="7">
        <v>13020.561750198573</v>
      </c>
      <c r="F20" s="17">
        <f t="shared" si="0"/>
        <v>41933314.389767684</v>
      </c>
      <c r="H20" s="4" t="s">
        <v>73</v>
      </c>
      <c r="I20" s="14">
        <v>333051356.84382468</v>
      </c>
      <c r="K20" s="10">
        <v>4229436</v>
      </c>
      <c r="L20" s="7">
        <v>0</v>
      </c>
      <c r="M20" s="7"/>
      <c r="N20" s="7">
        <v>11393625</v>
      </c>
      <c r="O20" s="7">
        <v>4999960</v>
      </c>
      <c r="P20" s="7"/>
      <c r="Q20" s="7">
        <v>0</v>
      </c>
      <c r="R20" s="7">
        <v>0</v>
      </c>
      <c r="S20" s="7"/>
      <c r="T20" s="7">
        <v>0</v>
      </c>
      <c r="U20" s="17">
        <v>0</v>
      </c>
    </row>
    <row r="21" spans="1:21">
      <c r="A21" t="s">
        <v>15</v>
      </c>
      <c r="B21" s="10">
        <v>12762808.599155977</v>
      </c>
      <c r="C21" s="7">
        <v>21635435.711825926</v>
      </c>
      <c r="D21" s="7">
        <v>0</v>
      </c>
      <c r="E21" s="7">
        <v>39957.178372555136</v>
      </c>
      <c r="F21" s="17">
        <f t="shared" si="0"/>
        <v>34438201.489354454</v>
      </c>
      <c r="H21" s="4" t="s">
        <v>74</v>
      </c>
      <c r="I21" s="14"/>
      <c r="K21" s="10">
        <v>9282570</v>
      </c>
      <c r="L21" s="7">
        <v>0</v>
      </c>
      <c r="M21" s="7"/>
      <c r="N21" s="7">
        <v>13042799</v>
      </c>
      <c r="O21" s="7">
        <v>0</v>
      </c>
      <c r="P21" s="7"/>
      <c r="Q21" s="7">
        <v>0</v>
      </c>
      <c r="R21" s="7">
        <v>0</v>
      </c>
      <c r="S21" s="7"/>
      <c r="T21" s="7">
        <v>0</v>
      </c>
      <c r="U21" s="17">
        <v>0</v>
      </c>
    </row>
    <row r="22" spans="1:21">
      <c r="A22" t="s">
        <v>16</v>
      </c>
      <c r="B22" s="10">
        <v>24421595.995729417</v>
      </c>
      <c r="C22" s="7">
        <v>10785884.284967637</v>
      </c>
      <c r="D22" s="7">
        <v>0</v>
      </c>
      <c r="E22" s="7">
        <v>0</v>
      </c>
      <c r="F22" s="17">
        <f t="shared" si="0"/>
        <v>35207480.280697055</v>
      </c>
      <c r="H22" s="4" t="s">
        <v>75</v>
      </c>
      <c r="I22" s="14">
        <v>0</v>
      </c>
      <c r="K22" s="10">
        <v>21735000</v>
      </c>
      <c r="L22" s="7">
        <v>0</v>
      </c>
      <c r="M22" s="7"/>
      <c r="N22" s="7">
        <v>8915000</v>
      </c>
      <c r="O22" s="7">
        <v>0</v>
      </c>
      <c r="P22" s="7"/>
      <c r="Q22" s="7">
        <v>0</v>
      </c>
      <c r="R22" s="7">
        <v>0</v>
      </c>
      <c r="S22" s="7"/>
      <c r="T22" s="7">
        <v>0</v>
      </c>
      <c r="U22" s="17">
        <v>0</v>
      </c>
    </row>
    <row r="23" spans="1:21">
      <c r="A23" t="s">
        <v>17</v>
      </c>
      <c r="B23" s="10">
        <v>12970897.603593849</v>
      </c>
      <c r="C23" s="7">
        <v>22829135.137857996</v>
      </c>
      <c r="D23" s="7">
        <v>0</v>
      </c>
      <c r="E23" s="7">
        <v>0</v>
      </c>
      <c r="F23" s="17">
        <f t="shared" si="0"/>
        <v>35800032.741451845</v>
      </c>
      <c r="H23" s="4" t="s">
        <v>76</v>
      </c>
      <c r="I23" s="14"/>
      <c r="K23" s="10">
        <v>14222783</v>
      </c>
      <c r="L23" s="7">
        <v>500000</v>
      </c>
      <c r="M23" s="7"/>
      <c r="N23" s="7">
        <v>21088959</v>
      </c>
      <c r="O23" s="7">
        <v>0</v>
      </c>
      <c r="P23" s="7"/>
      <c r="Q23" s="7">
        <v>0</v>
      </c>
      <c r="R23" s="7">
        <v>0</v>
      </c>
      <c r="S23" s="7"/>
      <c r="T23" s="7">
        <v>0</v>
      </c>
      <c r="U23" s="17">
        <v>0</v>
      </c>
    </row>
    <row r="24" spans="1:21">
      <c r="A24" t="s">
        <v>18</v>
      </c>
      <c r="B24" s="10">
        <v>0</v>
      </c>
      <c r="C24" s="7">
        <v>0</v>
      </c>
      <c r="D24" s="7">
        <v>0</v>
      </c>
      <c r="E24" s="7">
        <v>0</v>
      </c>
      <c r="F24" s="17">
        <f t="shared" si="0"/>
        <v>0</v>
      </c>
      <c r="H24" s="4" t="s">
        <v>77</v>
      </c>
      <c r="I24" s="14">
        <v>124144470.1700768</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18232213.691238705</v>
      </c>
      <c r="C26" s="7">
        <v>20533789.283262897</v>
      </c>
      <c r="D26" s="7">
        <v>0</v>
      </c>
      <c r="E26" s="7">
        <v>5594281.3234661985</v>
      </c>
      <c r="F26" s="17">
        <f t="shared" si="0"/>
        <v>44360284.297967799</v>
      </c>
      <c r="H26" s="4" t="s">
        <v>78</v>
      </c>
      <c r="I26" s="14">
        <f>SUM(I10:I16)-SUM(I19:I24)</f>
        <v>2946902070.6139536</v>
      </c>
      <c r="K26" s="10">
        <v>25969000</v>
      </c>
      <c r="L26" s="7">
        <v>0</v>
      </c>
      <c r="M26" s="7"/>
      <c r="N26" s="7">
        <v>15441000</v>
      </c>
      <c r="O26" s="7">
        <v>0</v>
      </c>
      <c r="P26" s="7"/>
      <c r="Q26" s="7">
        <v>0</v>
      </c>
      <c r="R26" s="7">
        <v>0</v>
      </c>
      <c r="S26" s="7"/>
      <c r="T26" s="7">
        <v>0</v>
      </c>
      <c r="U26" s="17">
        <v>0</v>
      </c>
    </row>
    <row r="27" spans="1:21">
      <c r="A27" t="s">
        <v>21</v>
      </c>
      <c r="B27" s="10">
        <v>41813474.233325377</v>
      </c>
      <c r="C27" s="7">
        <v>43063333.356454141</v>
      </c>
      <c r="D27" s="7">
        <v>0</v>
      </c>
      <c r="E27" s="7">
        <v>0</v>
      </c>
      <c r="F27" s="17">
        <f t="shared" si="0"/>
        <v>84876807.589779526</v>
      </c>
      <c r="H27" s="4" t="s">
        <v>79</v>
      </c>
      <c r="I27" s="14">
        <f>+F60</f>
        <v>2946902070.6137333</v>
      </c>
      <c r="K27" s="10">
        <v>34790000</v>
      </c>
      <c r="L27" s="7">
        <v>0</v>
      </c>
      <c r="M27" s="7"/>
      <c r="N27" s="7">
        <v>26640000</v>
      </c>
      <c r="O27" s="7">
        <v>0</v>
      </c>
      <c r="P27" s="7"/>
      <c r="Q27" s="7">
        <v>0</v>
      </c>
      <c r="R27" s="7">
        <v>0</v>
      </c>
      <c r="S27" s="7"/>
      <c r="T27" s="7">
        <v>0</v>
      </c>
      <c r="U27" s="17">
        <v>0</v>
      </c>
    </row>
    <row r="28" spans="1:21">
      <c r="A28" t="s">
        <v>22</v>
      </c>
      <c r="B28" s="10">
        <v>-1294.3237257067674</v>
      </c>
      <c r="C28" s="7">
        <v>0</v>
      </c>
      <c r="D28" s="7">
        <v>0</v>
      </c>
      <c r="E28" s="7">
        <v>-84469.889354291532</v>
      </c>
      <c r="F28" s="17">
        <f t="shared" si="0"/>
        <v>-85764.213079998299</v>
      </c>
      <c r="H28" s="23"/>
      <c r="I28" s="25"/>
      <c r="K28" s="10"/>
      <c r="L28" s="7"/>
      <c r="M28" s="7"/>
      <c r="N28" s="7"/>
      <c r="O28" s="7"/>
      <c r="P28" s="7"/>
      <c r="Q28" s="7"/>
      <c r="R28" s="7"/>
      <c r="S28" s="7"/>
      <c r="T28" s="7"/>
      <c r="U28" s="17"/>
    </row>
    <row r="29" spans="1:21">
      <c r="A29" t="s">
        <v>23</v>
      </c>
      <c r="B29" s="10">
        <v>14138213.435980236</v>
      </c>
      <c r="C29" s="7">
        <v>35398314.543047354</v>
      </c>
      <c r="D29" s="7">
        <v>0</v>
      </c>
      <c r="E29" s="7">
        <v>10368.844002880047</v>
      </c>
      <c r="F29" s="17">
        <f t="shared" si="0"/>
        <v>49546896.823030472</v>
      </c>
      <c r="K29" s="10">
        <v>10500000</v>
      </c>
      <c r="L29" s="7">
        <v>0</v>
      </c>
      <c r="M29" s="7"/>
      <c r="N29" s="7">
        <v>66672000</v>
      </c>
      <c r="O29" s="7">
        <v>11009268</v>
      </c>
      <c r="P29" s="7"/>
      <c r="Q29" s="7">
        <v>0</v>
      </c>
      <c r="R29" s="7">
        <v>0</v>
      </c>
      <c r="S29" s="7"/>
      <c r="T29" s="7">
        <v>0</v>
      </c>
      <c r="U29" s="17">
        <v>0</v>
      </c>
    </row>
    <row r="30" spans="1:21">
      <c r="A30" t="s">
        <v>24</v>
      </c>
      <c r="B30" s="10">
        <v>19154589.975795899</v>
      </c>
      <c r="C30" s="7">
        <v>5710876.1277135173</v>
      </c>
      <c r="D30" s="7">
        <v>0</v>
      </c>
      <c r="E30" s="7">
        <v>93754.74228361962</v>
      </c>
      <c r="F30" s="17">
        <f t="shared" si="0"/>
        <v>24959220.845793035</v>
      </c>
      <c r="K30" s="10">
        <v>13331639</v>
      </c>
      <c r="L30" s="7">
        <v>0</v>
      </c>
      <c r="M30" s="7"/>
      <c r="N30" s="7">
        <v>3571718</v>
      </c>
      <c r="O30" s="7">
        <v>0</v>
      </c>
      <c r="P30" s="7"/>
      <c r="Q30" s="7">
        <v>0</v>
      </c>
      <c r="R30" s="7">
        <v>0</v>
      </c>
      <c r="S30" s="7"/>
      <c r="T30" s="7">
        <v>46643</v>
      </c>
      <c r="U30" s="17">
        <v>0</v>
      </c>
    </row>
    <row r="31" spans="1:21">
      <c r="A31" t="s">
        <v>25</v>
      </c>
      <c r="B31" s="10">
        <v>57127228.269998953</v>
      </c>
      <c r="C31" s="7">
        <v>25975101.192416865</v>
      </c>
      <c r="D31" s="7">
        <v>0</v>
      </c>
      <c r="E31" s="7">
        <v>0</v>
      </c>
      <c r="F31" s="17">
        <f t="shared" si="0"/>
        <v>83102329.462415814</v>
      </c>
      <c r="K31" s="10">
        <v>41425043</v>
      </c>
      <c r="L31" s="7">
        <v>0</v>
      </c>
      <c r="M31" s="7"/>
      <c r="N31" s="7">
        <v>16458673</v>
      </c>
      <c r="O31" s="7">
        <v>0</v>
      </c>
      <c r="P31" s="7"/>
      <c r="Q31" s="7">
        <v>0</v>
      </c>
      <c r="R31" s="7">
        <v>0</v>
      </c>
      <c r="S31" s="7"/>
      <c r="T31" s="7">
        <v>0</v>
      </c>
      <c r="U31" s="17">
        <v>0</v>
      </c>
    </row>
    <row r="32" spans="1:21">
      <c r="A32" t="s">
        <v>26</v>
      </c>
      <c r="B32" s="10">
        <v>3597436.7038311674</v>
      </c>
      <c r="C32" s="7">
        <v>3705264.4117759401</v>
      </c>
      <c r="D32" s="7">
        <v>0</v>
      </c>
      <c r="E32" s="7">
        <v>0</v>
      </c>
      <c r="F32" s="17">
        <f t="shared" si="0"/>
        <v>7302701.1156071071</v>
      </c>
      <c r="K32" s="10">
        <v>2454678</v>
      </c>
      <c r="L32" s="7">
        <v>0</v>
      </c>
      <c r="M32" s="7"/>
      <c r="N32" s="7">
        <v>2585676</v>
      </c>
      <c r="O32" s="7">
        <v>0</v>
      </c>
      <c r="P32" s="7"/>
      <c r="Q32" s="7">
        <v>0</v>
      </c>
      <c r="R32" s="7">
        <v>0</v>
      </c>
      <c r="S32" s="7"/>
      <c r="T32" s="7">
        <v>0</v>
      </c>
      <c r="U32" s="17">
        <v>0</v>
      </c>
    </row>
    <row r="33" spans="1:21">
      <c r="A33" t="s">
        <v>27</v>
      </c>
      <c r="B33" s="10">
        <v>10283724.531730877</v>
      </c>
      <c r="C33" s="7">
        <v>6884507.776417492</v>
      </c>
      <c r="D33" s="7">
        <v>0</v>
      </c>
      <c r="E33" s="7">
        <v>0</v>
      </c>
      <c r="F33" s="17">
        <f t="shared" si="0"/>
        <v>17168232.308148369</v>
      </c>
      <c r="K33" s="10">
        <v>5041500</v>
      </c>
      <c r="L33" s="7">
        <v>0</v>
      </c>
      <c r="M33" s="7"/>
      <c r="N33" s="7">
        <v>4885766</v>
      </c>
      <c r="O33" s="7">
        <v>0</v>
      </c>
      <c r="P33" s="7"/>
      <c r="Q33" s="7">
        <v>0</v>
      </c>
      <c r="R33" s="7">
        <v>0</v>
      </c>
      <c r="S33" s="7"/>
      <c r="T33" s="7">
        <v>0</v>
      </c>
      <c r="U33" s="17">
        <v>0</v>
      </c>
    </row>
    <row r="34" spans="1:21">
      <c r="A34" t="s">
        <v>28</v>
      </c>
      <c r="B34" s="10">
        <v>12381853.640947627</v>
      </c>
      <c r="C34" s="7">
        <v>7182820.8265811997</v>
      </c>
      <c r="D34" s="7">
        <v>0</v>
      </c>
      <c r="E34" s="7">
        <v>0</v>
      </c>
      <c r="F34" s="17">
        <f t="shared" si="0"/>
        <v>19564674.467528827</v>
      </c>
      <c r="K34" s="10">
        <v>8682027</v>
      </c>
      <c r="L34" s="7">
        <v>0</v>
      </c>
      <c r="M34" s="7"/>
      <c r="N34" s="7">
        <v>4989049</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20305195.634292193</v>
      </c>
      <c r="C36" s="7">
        <v>51983254.813842528</v>
      </c>
      <c r="D36" s="7">
        <v>0</v>
      </c>
      <c r="E36" s="7">
        <v>1118118.0917888165</v>
      </c>
      <c r="F36" s="17">
        <f t="shared" si="0"/>
        <v>73406568.539923534</v>
      </c>
      <c r="K36" s="10">
        <v>24685487</v>
      </c>
      <c r="L36" s="7">
        <v>0</v>
      </c>
      <c r="M36" s="7"/>
      <c r="N36" s="7">
        <v>42456463</v>
      </c>
      <c r="O36" s="7">
        <v>0</v>
      </c>
      <c r="P36" s="7"/>
      <c r="Q36" s="7">
        <v>0</v>
      </c>
      <c r="R36" s="7">
        <v>0</v>
      </c>
      <c r="S36" s="7"/>
      <c r="T36" s="7">
        <v>1200000</v>
      </c>
      <c r="U36" s="17">
        <v>0</v>
      </c>
    </row>
    <row r="37" spans="1:21">
      <c r="A37" t="s">
        <v>31</v>
      </c>
      <c r="B37" s="10">
        <v>4596209.037913844</v>
      </c>
      <c r="C37" s="7">
        <v>8111460.9563137153</v>
      </c>
      <c r="D37" s="7">
        <v>0</v>
      </c>
      <c r="E37" s="7">
        <v>0</v>
      </c>
      <c r="F37" s="17">
        <f t="shared" si="0"/>
        <v>12707669.994227558</v>
      </c>
      <c r="K37" s="10">
        <v>2300000</v>
      </c>
      <c r="L37" s="7">
        <v>0</v>
      </c>
      <c r="M37" s="7"/>
      <c r="N37" s="7">
        <v>5048618</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30829369.141297236</v>
      </c>
      <c r="C39" s="7">
        <v>68006358.800744087</v>
      </c>
      <c r="D39" s="7">
        <v>0</v>
      </c>
      <c r="E39" s="7">
        <v>0</v>
      </c>
      <c r="F39" s="17">
        <f t="shared" si="1"/>
        <v>98835727.942041323</v>
      </c>
      <c r="K39" s="10">
        <v>27666417</v>
      </c>
      <c r="L39" s="7">
        <v>0</v>
      </c>
      <c r="M39" s="7"/>
      <c r="N39" s="7">
        <v>64333583</v>
      </c>
      <c r="O39" s="7">
        <v>0</v>
      </c>
      <c r="P39" s="7"/>
      <c r="Q39" s="7">
        <v>0</v>
      </c>
      <c r="R39" s="7">
        <v>0</v>
      </c>
      <c r="S39" s="7"/>
      <c r="T39" s="7">
        <v>0</v>
      </c>
      <c r="U39" s="17">
        <v>0</v>
      </c>
    </row>
    <row r="40" spans="1:21">
      <c r="A40" t="s">
        <v>34</v>
      </c>
      <c r="B40" s="10">
        <v>3332169.620991956</v>
      </c>
      <c r="C40" s="7">
        <v>5074089.6587375151</v>
      </c>
      <c r="D40" s="7">
        <v>0</v>
      </c>
      <c r="E40" s="7">
        <v>28895.566860911527</v>
      </c>
      <c r="F40" s="17">
        <f t="shared" si="1"/>
        <v>8435154.846590383</v>
      </c>
      <c r="K40" s="10">
        <v>1520309</v>
      </c>
      <c r="L40" s="7">
        <v>0</v>
      </c>
      <c r="M40" s="7"/>
      <c r="N40" s="7">
        <v>1893127</v>
      </c>
      <c r="O40" s="7">
        <v>0</v>
      </c>
      <c r="P40" s="7"/>
      <c r="Q40" s="7">
        <v>0</v>
      </c>
      <c r="R40" s="7">
        <v>0</v>
      </c>
      <c r="S40" s="7"/>
      <c r="T40" s="7">
        <v>37848</v>
      </c>
      <c r="U40" s="17">
        <v>0</v>
      </c>
    </row>
    <row r="41" spans="1:21">
      <c r="A41" t="s">
        <v>35</v>
      </c>
      <c r="B41" s="10">
        <v>28666995.849150397</v>
      </c>
      <c r="C41" s="7">
        <v>37541281.179309979</v>
      </c>
      <c r="D41" s="7">
        <v>0</v>
      </c>
      <c r="E41" s="7">
        <v>1829961.9609238866</v>
      </c>
      <c r="F41" s="17">
        <f t="shared" si="1"/>
        <v>68038238.989384264</v>
      </c>
      <c r="K41" s="10">
        <v>16675000</v>
      </c>
      <c r="L41" s="7">
        <v>0</v>
      </c>
      <c r="M41" s="7"/>
      <c r="N41" s="7">
        <v>19400000</v>
      </c>
      <c r="O41" s="7">
        <v>0</v>
      </c>
      <c r="P41" s="7"/>
      <c r="Q41" s="7">
        <v>0</v>
      </c>
      <c r="R41" s="7">
        <v>0</v>
      </c>
      <c r="S41" s="7"/>
      <c r="T41" s="7">
        <v>1625000</v>
      </c>
      <c r="U41" s="17">
        <v>0</v>
      </c>
    </row>
    <row r="42" spans="1:21">
      <c r="A42" t="s">
        <v>36</v>
      </c>
      <c r="B42" s="10">
        <v>10726427.260393303</v>
      </c>
      <c r="C42" s="7">
        <v>18623986.906971689</v>
      </c>
      <c r="D42" s="7">
        <v>0</v>
      </c>
      <c r="E42" s="7">
        <v>0</v>
      </c>
      <c r="F42" s="17">
        <f t="shared" si="1"/>
        <v>29350414.167364992</v>
      </c>
      <c r="K42" s="10">
        <v>11117110</v>
      </c>
      <c r="L42" s="7">
        <v>0</v>
      </c>
      <c r="M42" s="7"/>
      <c r="N42" s="7">
        <v>16908490</v>
      </c>
      <c r="O42" s="7">
        <v>0</v>
      </c>
      <c r="P42" s="7"/>
      <c r="Q42" s="7">
        <v>0</v>
      </c>
      <c r="R42" s="7">
        <v>0</v>
      </c>
      <c r="S42" s="7"/>
      <c r="T42" s="7">
        <v>0</v>
      </c>
      <c r="U42" s="17">
        <v>0</v>
      </c>
    </row>
    <row r="43" spans="1:21">
      <c r="A43" t="s">
        <v>37</v>
      </c>
      <c r="B43" s="10">
        <v>15407185.421467256</v>
      </c>
      <c r="C43" s="7">
        <v>17429742.346958738</v>
      </c>
      <c r="D43" s="7">
        <v>0</v>
      </c>
      <c r="E43" s="7">
        <v>0</v>
      </c>
      <c r="F43" s="17">
        <f t="shared" si="1"/>
        <v>32836927.768425994</v>
      </c>
      <c r="K43" s="10">
        <v>11282594</v>
      </c>
      <c r="L43" s="7">
        <v>0</v>
      </c>
      <c r="M43" s="7"/>
      <c r="N43" s="7">
        <v>15986796</v>
      </c>
      <c r="O43" s="7">
        <v>0</v>
      </c>
      <c r="P43" s="7"/>
      <c r="Q43" s="7">
        <v>0</v>
      </c>
      <c r="R43" s="7">
        <v>0</v>
      </c>
      <c r="S43" s="7"/>
      <c r="T43" s="7">
        <v>0</v>
      </c>
      <c r="U43" s="17">
        <v>0</v>
      </c>
    </row>
    <row r="44" spans="1:21">
      <c r="A44" t="s">
        <v>38</v>
      </c>
      <c r="B44" s="10">
        <v>45573988.934343286</v>
      </c>
      <c r="C44" s="7">
        <v>169863537.43388459</v>
      </c>
      <c r="D44" s="7">
        <v>0</v>
      </c>
      <c r="E44" s="7">
        <v>0</v>
      </c>
      <c r="F44" s="17">
        <f t="shared" si="1"/>
        <v>215437526.36822787</v>
      </c>
      <c r="K44" s="10">
        <v>18000000</v>
      </c>
      <c r="L44" s="7">
        <v>0</v>
      </c>
      <c r="M44" s="7"/>
      <c r="N44" s="7">
        <v>137986288</v>
      </c>
      <c r="O44" s="7">
        <v>0</v>
      </c>
      <c r="P44" s="7"/>
      <c r="Q44" s="7">
        <v>0</v>
      </c>
      <c r="R44" s="7">
        <v>0</v>
      </c>
      <c r="S44" s="7"/>
      <c r="T44" s="7">
        <v>0</v>
      </c>
      <c r="U44" s="17">
        <v>0</v>
      </c>
    </row>
    <row r="45" spans="1:21">
      <c r="A45" t="s">
        <v>39</v>
      </c>
      <c r="B45" s="10">
        <v>651572.94037578756</v>
      </c>
      <c r="C45" s="7">
        <v>518016.58504384087</v>
      </c>
      <c r="D45" s="7">
        <v>0</v>
      </c>
      <c r="E45" s="7">
        <v>0</v>
      </c>
      <c r="F45" s="17">
        <f t="shared" si="1"/>
        <v>1169589.5254196285</v>
      </c>
      <c r="K45" s="10">
        <v>541527</v>
      </c>
      <c r="L45" s="7">
        <v>0</v>
      </c>
      <c r="M45" s="7"/>
      <c r="N45" s="7">
        <v>387497</v>
      </c>
      <c r="O45" s="7">
        <v>0</v>
      </c>
      <c r="P45" s="7"/>
      <c r="Q45" s="7">
        <v>0</v>
      </c>
      <c r="R45" s="7">
        <v>0</v>
      </c>
      <c r="S45" s="7"/>
      <c r="T45" s="7">
        <v>0</v>
      </c>
      <c r="U45" s="17">
        <v>0</v>
      </c>
    </row>
    <row r="46" spans="1:21">
      <c r="A46" t="s">
        <v>40</v>
      </c>
      <c r="B46" s="10">
        <v>3180941.3826199137</v>
      </c>
      <c r="C46" s="7">
        <v>22015714.799091641</v>
      </c>
      <c r="D46" s="7">
        <v>0</v>
      </c>
      <c r="E46" s="7">
        <v>0</v>
      </c>
      <c r="F46" s="17">
        <f t="shared" si="1"/>
        <v>25196656.181711555</v>
      </c>
      <c r="K46" s="10">
        <v>2232365</v>
      </c>
      <c r="L46" s="7">
        <v>0</v>
      </c>
      <c r="M46" s="7"/>
      <c r="N46" s="7">
        <v>16157942</v>
      </c>
      <c r="O46" s="7">
        <v>0</v>
      </c>
      <c r="P46" s="7"/>
      <c r="Q46" s="7">
        <v>0</v>
      </c>
      <c r="R46" s="7">
        <v>0</v>
      </c>
      <c r="S46" s="7"/>
      <c r="T46" s="7">
        <v>0</v>
      </c>
      <c r="U46" s="17">
        <v>0</v>
      </c>
    </row>
    <row r="47" spans="1:21">
      <c r="A47" t="s">
        <v>41</v>
      </c>
      <c r="B47" s="10">
        <v>17158785.382084023</v>
      </c>
      <c r="C47" s="7">
        <v>22107957.273300145</v>
      </c>
      <c r="D47" s="7">
        <v>0</v>
      </c>
      <c r="E47" s="7">
        <v>0</v>
      </c>
      <c r="F47" s="17">
        <f t="shared" si="1"/>
        <v>39266742.655384168</v>
      </c>
      <c r="K47" s="10">
        <v>13861881</v>
      </c>
      <c r="L47" s="7">
        <v>0</v>
      </c>
      <c r="M47" s="7"/>
      <c r="N47" s="7">
        <v>16058421</v>
      </c>
      <c r="O47" s="7">
        <v>0</v>
      </c>
      <c r="P47" s="7"/>
      <c r="Q47" s="7">
        <v>0</v>
      </c>
      <c r="R47" s="7">
        <v>0</v>
      </c>
      <c r="S47" s="7"/>
      <c r="T47" s="7">
        <v>0</v>
      </c>
      <c r="U47" s="17">
        <v>0</v>
      </c>
    </row>
    <row r="48" spans="1:21">
      <c r="A48" t="s">
        <v>42</v>
      </c>
      <c r="B48" s="10">
        <v>6714959.0122157512</v>
      </c>
      <c r="C48" s="7">
        <v>2850212.6686134725</v>
      </c>
      <c r="D48" s="7">
        <v>0</v>
      </c>
      <c r="E48" s="7">
        <v>0</v>
      </c>
      <c r="F48" s="17">
        <f t="shared" si="1"/>
        <v>9565171.6808292232</v>
      </c>
      <c r="K48" s="10">
        <v>3926959</v>
      </c>
      <c r="L48" s="7">
        <v>0</v>
      </c>
      <c r="M48" s="7"/>
      <c r="N48" s="7">
        <v>1513163</v>
      </c>
      <c r="O48" s="7">
        <v>0</v>
      </c>
      <c r="P48" s="7"/>
      <c r="Q48" s="7">
        <v>0</v>
      </c>
      <c r="R48" s="7">
        <v>0</v>
      </c>
      <c r="S48" s="7"/>
      <c r="T48" s="7">
        <v>0</v>
      </c>
      <c r="U48" s="17">
        <v>0</v>
      </c>
    </row>
    <row r="49" spans="1:21">
      <c r="A49" t="s">
        <v>43</v>
      </c>
      <c r="B49" s="10">
        <v>24136273.795810338</v>
      </c>
      <c r="C49" s="7">
        <v>15864272.438123463</v>
      </c>
      <c r="D49" s="7">
        <v>0</v>
      </c>
      <c r="E49" s="7">
        <v>0</v>
      </c>
      <c r="F49" s="17">
        <f t="shared" si="1"/>
        <v>40000546.233933799</v>
      </c>
      <c r="K49" s="10">
        <v>14750000</v>
      </c>
      <c r="L49" s="7">
        <v>0</v>
      </c>
      <c r="M49" s="7"/>
      <c r="N49" s="7">
        <v>12050000</v>
      </c>
      <c r="O49" s="7">
        <v>0</v>
      </c>
      <c r="P49" s="7"/>
      <c r="Q49" s="7">
        <v>0</v>
      </c>
      <c r="R49" s="7">
        <v>0</v>
      </c>
      <c r="S49" s="7"/>
      <c r="T49" s="7">
        <v>0</v>
      </c>
      <c r="U49" s="17">
        <v>0</v>
      </c>
    </row>
    <row r="50" spans="1:21">
      <c r="A50" t="s">
        <v>44</v>
      </c>
      <c r="B50" s="10">
        <v>107721277.63302319</v>
      </c>
      <c r="C50" s="7">
        <v>134431942.38966599</v>
      </c>
      <c r="D50" s="7">
        <v>0</v>
      </c>
      <c r="E50" s="7">
        <v>11605840.998572709</v>
      </c>
      <c r="F50" s="17">
        <f t="shared" si="1"/>
        <v>253759061.02126187</v>
      </c>
      <c r="K50" s="10">
        <v>125470495</v>
      </c>
      <c r="L50" s="7">
        <v>0</v>
      </c>
      <c r="M50" s="7"/>
      <c r="N50" s="7">
        <v>63667619</v>
      </c>
      <c r="O50" s="7">
        <v>0</v>
      </c>
      <c r="P50" s="7"/>
      <c r="Q50" s="7">
        <v>0</v>
      </c>
      <c r="R50" s="7">
        <v>0</v>
      </c>
      <c r="S50" s="7"/>
      <c r="T50" s="7">
        <v>0</v>
      </c>
      <c r="U50" s="17">
        <v>0</v>
      </c>
    </row>
    <row r="51" spans="1:21">
      <c r="A51" t="s">
        <v>45</v>
      </c>
      <c r="B51" s="10">
        <v>8527523.0094802231</v>
      </c>
      <c r="C51" s="7">
        <v>6932344.5646781772</v>
      </c>
      <c r="D51" s="7">
        <v>0</v>
      </c>
      <c r="E51" s="7">
        <v>241707.9962356273</v>
      </c>
      <c r="F51" s="17">
        <f t="shared" si="1"/>
        <v>15701575.570394028</v>
      </c>
      <c r="K51" s="10">
        <v>7650200</v>
      </c>
      <c r="L51" s="7">
        <v>0</v>
      </c>
      <c r="M51" s="7"/>
      <c r="N51" s="7">
        <v>5764275</v>
      </c>
      <c r="O51" s="7">
        <v>0</v>
      </c>
      <c r="P51" s="7"/>
      <c r="Q51" s="7">
        <v>590625</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10297584.365076203</v>
      </c>
      <c r="C53" s="7">
        <v>19937014.828549009</v>
      </c>
      <c r="D53" s="7">
        <v>0</v>
      </c>
      <c r="E53" s="7">
        <v>0</v>
      </c>
      <c r="F53" s="17">
        <f t="shared" si="1"/>
        <v>30234599.193625212</v>
      </c>
      <c r="K53" s="10">
        <v>10539476</v>
      </c>
      <c r="L53" s="7">
        <v>0</v>
      </c>
      <c r="M53" s="7"/>
      <c r="N53" s="7">
        <v>10914000</v>
      </c>
      <c r="O53" s="7">
        <v>2613992</v>
      </c>
      <c r="P53" s="7"/>
      <c r="Q53" s="7">
        <v>0</v>
      </c>
      <c r="R53" s="7">
        <v>0</v>
      </c>
      <c r="S53" s="7"/>
      <c r="T53" s="7">
        <v>0</v>
      </c>
      <c r="U53" s="17">
        <v>0</v>
      </c>
    </row>
    <row r="54" spans="1:21">
      <c r="A54" t="s">
        <v>48</v>
      </c>
      <c r="B54" s="10">
        <v>33502411.979999263</v>
      </c>
      <c r="C54" s="7">
        <v>59025775.117589526</v>
      </c>
      <c r="D54" s="7">
        <v>0</v>
      </c>
      <c r="E54" s="7">
        <v>2166597.2525246912</v>
      </c>
      <c r="F54" s="17">
        <f t="shared" si="1"/>
        <v>94694784.350113481</v>
      </c>
      <c r="K54" s="10">
        <v>35361000</v>
      </c>
      <c r="L54" s="7">
        <v>0</v>
      </c>
      <c r="M54" s="7"/>
      <c r="N54" s="7">
        <v>40598000</v>
      </c>
      <c r="O54" s="7">
        <v>0</v>
      </c>
      <c r="P54" s="7"/>
      <c r="Q54" s="7">
        <v>0</v>
      </c>
      <c r="R54" s="7">
        <v>0</v>
      </c>
      <c r="S54" s="7"/>
      <c r="T54" s="7">
        <v>2800000</v>
      </c>
      <c r="U54" s="17">
        <v>0</v>
      </c>
    </row>
    <row r="55" spans="1:21">
      <c r="A55" t="s">
        <v>49</v>
      </c>
      <c r="B55" s="10">
        <v>1845728.9481934165</v>
      </c>
      <c r="C55" s="7">
        <v>3593563.8446491119</v>
      </c>
      <c r="D55" s="7">
        <v>0</v>
      </c>
      <c r="E55" s="7">
        <v>0</v>
      </c>
      <c r="F55" s="17">
        <f t="shared" si="1"/>
        <v>5439292.7928425279</v>
      </c>
      <c r="K55" s="10">
        <v>1598287</v>
      </c>
      <c r="L55" s="7">
        <v>0</v>
      </c>
      <c r="M55" s="7"/>
      <c r="N55" s="7">
        <v>3529868</v>
      </c>
      <c r="O55" s="7">
        <v>980</v>
      </c>
      <c r="P55" s="7"/>
      <c r="Q55" s="7">
        <v>0</v>
      </c>
      <c r="R55" s="7">
        <v>0</v>
      </c>
      <c r="S55" s="7"/>
      <c r="T55" s="7">
        <v>0</v>
      </c>
      <c r="U55" s="17">
        <v>0</v>
      </c>
    </row>
    <row r="56" spans="1:21">
      <c r="A56" t="s">
        <v>50</v>
      </c>
      <c r="B56" s="10">
        <v>14518445.619363282</v>
      </c>
      <c r="C56" s="7">
        <v>51115804.569652922</v>
      </c>
      <c r="D56" s="7">
        <v>0</v>
      </c>
      <c r="E56" s="7">
        <v>79687.440673158591</v>
      </c>
      <c r="F56" s="17">
        <f t="shared" si="1"/>
        <v>65713937.629689366</v>
      </c>
      <c r="K56" s="10">
        <v>13800000</v>
      </c>
      <c r="L56" s="7">
        <v>0</v>
      </c>
      <c r="M56" s="7"/>
      <c r="N56" s="7">
        <v>42947843</v>
      </c>
      <c r="O56" s="7">
        <v>0</v>
      </c>
      <c r="P56" s="7"/>
      <c r="Q56" s="7">
        <v>0</v>
      </c>
      <c r="R56" s="7">
        <v>0</v>
      </c>
      <c r="S56" s="7"/>
      <c r="T56" s="7">
        <v>0</v>
      </c>
      <c r="U56" s="17">
        <v>0</v>
      </c>
    </row>
    <row r="57" spans="1:21">
      <c r="A57" t="s">
        <v>51</v>
      </c>
      <c r="B57" s="10">
        <v>3041950.8076067385</v>
      </c>
      <c r="C57" s="7">
        <v>3577339.5000276281</v>
      </c>
      <c r="D57" s="7">
        <v>0</v>
      </c>
      <c r="E57" s="7">
        <v>0</v>
      </c>
      <c r="F57" s="17">
        <f t="shared" si="1"/>
        <v>6619290.3076343667</v>
      </c>
      <c r="K57" s="10">
        <v>2335209</v>
      </c>
      <c r="L57" s="7">
        <v>0</v>
      </c>
      <c r="M57" s="7"/>
      <c r="N57" s="7">
        <v>2758197</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1187398270.1507559</v>
      </c>
      <c r="C60" s="7">
        <f>SUM(C6:C58)</f>
        <v>1727929711.730109</v>
      </c>
      <c r="D60" s="7">
        <f>SUM(D6:D58)</f>
        <v>0</v>
      </c>
      <c r="E60" s="7">
        <f>SUM(E6:E58)</f>
        <v>31574088.732868716</v>
      </c>
      <c r="F60" s="17">
        <f>SUM(F6:F58)</f>
        <v>2946902070.6137333</v>
      </c>
      <c r="K60" s="10">
        <f>SUM(K6:K58)</f>
        <v>1066088157</v>
      </c>
      <c r="L60" s="7">
        <f>SUM(L6:L58)</f>
        <v>500000</v>
      </c>
      <c r="M60" s="7"/>
      <c r="N60" s="7">
        <f>SUM(N6:N58)</f>
        <v>1342953893</v>
      </c>
      <c r="O60" s="7">
        <f>SUM(O6:O58)</f>
        <v>50963161.450000003</v>
      </c>
      <c r="P60" s="7"/>
      <c r="Q60" s="7">
        <f>SUM(Q6:Q58)</f>
        <v>590625</v>
      </c>
      <c r="R60" s="7">
        <f>SUM(R6:R58)</f>
        <v>0</v>
      </c>
      <c r="S60" s="7"/>
      <c r="T60" s="7">
        <f>SUM(T6:T58)</f>
        <v>42365781</v>
      </c>
      <c r="U60" s="17">
        <f>SUM(U6:U58)</f>
        <v>20669526.82</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Italic"Executive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48467.102437558555</v>
      </c>
      <c r="D6" s="7">
        <v>0</v>
      </c>
      <c r="E6" s="7">
        <v>0</v>
      </c>
      <c r="F6" s="17">
        <f t="shared" ref="F6:F37" si="0">SUM(B6:E6)</f>
        <v>48467.102437558555</v>
      </c>
      <c r="K6" s="10"/>
      <c r="L6" s="7"/>
      <c r="M6" s="7"/>
      <c r="N6" s="7"/>
      <c r="O6" s="7"/>
      <c r="P6" s="7"/>
      <c r="Q6" s="7"/>
      <c r="R6" s="7"/>
      <c r="S6" s="7"/>
      <c r="T6" s="7"/>
      <c r="U6" s="17"/>
    </row>
    <row r="7" spans="1:21">
      <c r="A7" t="s">
        <v>1</v>
      </c>
      <c r="B7" s="10">
        <v>0</v>
      </c>
      <c r="C7" s="7">
        <v>73910.234281503523</v>
      </c>
      <c r="D7" s="7">
        <v>0</v>
      </c>
      <c r="E7" s="7">
        <v>0</v>
      </c>
      <c r="F7" s="17">
        <f t="shared" si="0"/>
        <v>73910.234281503523</v>
      </c>
      <c r="H7" s="22"/>
      <c r="I7" s="24"/>
      <c r="K7" s="10"/>
      <c r="L7" s="7"/>
      <c r="M7" s="7"/>
      <c r="N7" s="7"/>
      <c r="O7" s="7"/>
      <c r="P7" s="7"/>
      <c r="Q7" s="7"/>
      <c r="R7" s="7"/>
      <c r="S7" s="7"/>
      <c r="T7" s="7"/>
      <c r="U7" s="17"/>
    </row>
    <row r="8" spans="1:21">
      <c r="A8" t="s">
        <v>2</v>
      </c>
      <c r="B8" s="10">
        <v>0</v>
      </c>
      <c r="C8" s="7">
        <v>1497630.1886382992</v>
      </c>
      <c r="D8" s="7">
        <v>0</v>
      </c>
      <c r="E8" s="7">
        <v>0</v>
      </c>
      <c r="F8" s="17">
        <f t="shared" si="0"/>
        <v>1497630.1886382992</v>
      </c>
      <c r="H8" s="4" t="s">
        <v>64</v>
      </c>
      <c r="I8" s="13"/>
      <c r="K8" s="10"/>
      <c r="L8" s="7"/>
      <c r="M8" s="7"/>
      <c r="N8" s="7"/>
      <c r="O8" s="7"/>
      <c r="P8" s="7"/>
      <c r="Q8" s="7"/>
      <c r="R8" s="7"/>
      <c r="S8" s="7"/>
      <c r="T8" s="7"/>
      <c r="U8" s="17"/>
    </row>
    <row r="9" spans="1:21">
      <c r="A9" t="s">
        <v>3</v>
      </c>
      <c r="B9" s="10">
        <v>0</v>
      </c>
      <c r="C9" s="7">
        <v>3090727.5501176356</v>
      </c>
      <c r="D9" s="7">
        <v>0</v>
      </c>
      <c r="E9" s="7">
        <v>0</v>
      </c>
      <c r="F9" s="17">
        <f t="shared" si="0"/>
        <v>3090727.5501176356</v>
      </c>
      <c r="H9" s="4"/>
      <c r="I9" s="13"/>
      <c r="K9" s="10">
        <v>0</v>
      </c>
      <c r="L9" s="7">
        <v>0</v>
      </c>
      <c r="M9" s="7"/>
      <c r="N9" s="7">
        <v>0</v>
      </c>
      <c r="O9" s="7">
        <v>0</v>
      </c>
      <c r="P9" s="7"/>
      <c r="Q9" s="7">
        <v>0</v>
      </c>
      <c r="R9" s="7">
        <v>0</v>
      </c>
      <c r="S9" s="7"/>
      <c r="T9" s="7">
        <v>0</v>
      </c>
      <c r="U9" s="17">
        <v>0</v>
      </c>
    </row>
    <row r="10" spans="1:21">
      <c r="A10" t="s">
        <v>4</v>
      </c>
      <c r="B10" s="10">
        <v>0</v>
      </c>
      <c r="C10" s="7">
        <v>20908823.490350921</v>
      </c>
      <c r="D10" s="7">
        <v>0</v>
      </c>
      <c r="E10" s="7">
        <v>0</v>
      </c>
      <c r="F10" s="17">
        <f t="shared" si="0"/>
        <v>20908823.490350921</v>
      </c>
      <c r="H10" s="4" t="s">
        <v>65</v>
      </c>
      <c r="I10" s="14">
        <v>1028253568.2459996</v>
      </c>
      <c r="K10" s="10"/>
      <c r="L10" s="7"/>
      <c r="M10" s="7"/>
      <c r="N10" s="7"/>
      <c r="O10" s="7"/>
      <c r="P10" s="7"/>
      <c r="Q10" s="7"/>
      <c r="R10" s="7"/>
      <c r="S10" s="7"/>
      <c r="T10" s="7"/>
      <c r="U10" s="17"/>
    </row>
    <row r="11" spans="1:21">
      <c r="A11" t="s">
        <v>5</v>
      </c>
      <c r="B11" s="10">
        <v>0</v>
      </c>
      <c r="C11" s="7">
        <v>2015915.5611829911</v>
      </c>
      <c r="D11" s="7">
        <v>0</v>
      </c>
      <c r="E11" s="7">
        <v>0</v>
      </c>
      <c r="F11" s="17">
        <f t="shared" si="0"/>
        <v>2015915.5611829911</v>
      </c>
      <c r="H11" s="4"/>
      <c r="I11" s="14"/>
      <c r="K11" s="10"/>
      <c r="L11" s="7"/>
      <c r="M11" s="7"/>
      <c r="N11" s="7"/>
      <c r="O11" s="7"/>
      <c r="P11" s="7"/>
      <c r="Q11" s="7"/>
      <c r="R11" s="7"/>
      <c r="S11" s="7"/>
      <c r="T11" s="7"/>
      <c r="U11" s="17"/>
    </row>
    <row r="12" spans="1:21">
      <c r="A12" t="s">
        <v>6</v>
      </c>
      <c r="B12" s="10">
        <v>0</v>
      </c>
      <c r="C12" s="7">
        <v>25146532.909418602</v>
      </c>
      <c r="D12" s="7">
        <v>0</v>
      </c>
      <c r="E12" s="7">
        <v>0</v>
      </c>
      <c r="F12" s="17">
        <f t="shared" si="0"/>
        <v>25146532.909418602</v>
      </c>
      <c r="H12" s="4" t="s">
        <v>66</v>
      </c>
      <c r="I12" s="14"/>
      <c r="K12" s="10"/>
      <c r="L12" s="7"/>
      <c r="M12" s="7"/>
      <c r="N12" s="7"/>
      <c r="O12" s="7"/>
      <c r="P12" s="7"/>
      <c r="Q12" s="7"/>
      <c r="R12" s="7"/>
      <c r="S12" s="7"/>
      <c r="T12" s="7"/>
      <c r="U12" s="17"/>
    </row>
    <row r="13" spans="1:21">
      <c r="A13" t="s">
        <v>7</v>
      </c>
      <c r="B13" s="10">
        <v>0</v>
      </c>
      <c r="C13" s="7">
        <v>2892126.277142785</v>
      </c>
      <c r="D13" s="7">
        <v>0</v>
      </c>
      <c r="E13" s="7">
        <v>0</v>
      </c>
      <c r="F13" s="17">
        <f t="shared" si="0"/>
        <v>2892126.277142785</v>
      </c>
      <c r="H13" s="4" t="s">
        <v>67</v>
      </c>
      <c r="I13" s="14">
        <v>0</v>
      </c>
      <c r="K13" s="10"/>
      <c r="L13" s="7"/>
      <c r="M13" s="7"/>
      <c r="N13" s="7"/>
      <c r="O13" s="7"/>
      <c r="P13" s="7"/>
      <c r="Q13" s="7"/>
      <c r="R13" s="7"/>
      <c r="S13" s="7"/>
      <c r="T13" s="7"/>
      <c r="U13" s="17"/>
    </row>
    <row r="14" spans="1:21">
      <c r="A14" t="s">
        <v>8</v>
      </c>
      <c r="B14" s="10">
        <v>0</v>
      </c>
      <c r="C14" s="7">
        <v>7019.3648981829047</v>
      </c>
      <c r="D14" s="7">
        <v>0</v>
      </c>
      <c r="E14" s="7">
        <v>0</v>
      </c>
      <c r="F14" s="17">
        <f t="shared" si="0"/>
        <v>7019.3648981829047</v>
      </c>
      <c r="H14" s="4" t="s">
        <v>68</v>
      </c>
      <c r="I14" s="14">
        <v>11849872.23</v>
      </c>
      <c r="K14" s="10"/>
      <c r="L14" s="7"/>
      <c r="M14" s="7"/>
      <c r="N14" s="7"/>
      <c r="O14" s="7"/>
      <c r="P14" s="7"/>
      <c r="Q14" s="7"/>
      <c r="R14" s="7"/>
      <c r="S14" s="7"/>
      <c r="T14" s="7"/>
      <c r="U14" s="17"/>
    </row>
    <row r="15" spans="1:21">
      <c r="A15" t="s">
        <v>9</v>
      </c>
      <c r="B15" s="10">
        <v>0</v>
      </c>
      <c r="C15" s="7">
        <v>324228.2041633238</v>
      </c>
      <c r="D15" s="7">
        <v>0</v>
      </c>
      <c r="E15" s="7">
        <v>0</v>
      </c>
      <c r="F15" s="17">
        <f t="shared" si="0"/>
        <v>324228.2041633238</v>
      </c>
      <c r="H15" s="4" t="s">
        <v>69</v>
      </c>
      <c r="I15" s="14">
        <v>22578915.074999996</v>
      </c>
      <c r="K15" s="10"/>
      <c r="L15" s="7"/>
      <c r="M15" s="7"/>
      <c r="N15" s="7"/>
      <c r="O15" s="7"/>
      <c r="P15" s="7"/>
      <c r="Q15" s="7"/>
      <c r="R15" s="7"/>
      <c r="S15" s="7"/>
      <c r="T15" s="7"/>
      <c r="U15" s="17"/>
    </row>
    <row r="16" spans="1:21">
      <c r="A16" t="s">
        <v>10</v>
      </c>
      <c r="B16" s="10">
        <v>0</v>
      </c>
      <c r="C16" s="7">
        <v>4492104.8413360417</v>
      </c>
      <c r="D16" s="7">
        <v>0</v>
      </c>
      <c r="E16" s="7">
        <v>0</v>
      </c>
      <c r="F16" s="17">
        <f t="shared" si="0"/>
        <v>4492104.8413360417</v>
      </c>
      <c r="H16" s="4" t="s">
        <v>70</v>
      </c>
      <c r="I16" s="14">
        <v>0</v>
      </c>
      <c r="K16" s="10"/>
      <c r="L16" s="7"/>
      <c r="M16" s="7"/>
      <c r="N16" s="7"/>
      <c r="O16" s="7"/>
      <c r="P16" s="7"/>
      <c r="Q16" s="7"/>
      <c r="R16" s="7"/>
      <c r="S16" s="7"/>
      <c r="T16" s="7"/>
      <c r="U16" s="17"/>
    </row>
    <row r="17" spans="1:21">
      <c r="A17" t="s">
        <v>11</v>
      </c>
      <c r="B17" s="10">
        <v>0</v>
      </c>
      <c r="C17" s="7">
        <v>520639.14055578574</v>
      </c>
      <c r="D17" s="7">
        <v>0</v>
      </c>
      <c r="E17" s="7">
        <v>0</v>
      </c>
      <c r="F17" s="17">
        <f t="shared" si="0"/>
        <v>520639.14055578574</v>
      </c>
      <c r="H17" s="4"/>
      <c r="I17" s="14"/>
      <c r="K17" s="10"/>
      <c r="L17" s="7"/>
      <c r="M17" s="7"/>
      <c r="N17" s="7"/>
      <c r="O17" s="7"/>
      <c r="P17" s="7"/>
      <c r="Q17" s="7"/>
      <c r="R17" s="7"/>
      <c r="S17" s="7"/>
      <c r="T17" s="7"/>
      <c r="U17" s="17"/>
    </row>
    <row r="18" spans="1:21">
      <c r="A18" t="s">
        <v>12</v>
      </c>
      <c r="B18" s="10">
        <v>0</v>
      </c>
      <c r="C18" s="7">
        <v>323235.08825398219</v>
      </c>
      <c r="D18" s="7">
        <v>0</v>
      </c>
      <c r="E18" s="7">
        <v>0</v>
      </c>
      <c r="F18" s="17">
        <f t="shared" si="0"/>
        <v>323235.08825398219</v>
      </c>
      <c r="H18" s="4" t="s">
        <v>71</v>
      </c>
      <c r="I18" s="14"/>
      <c r="K18" s="10"/>
      <c r="L18" s="7"/>
      <c r="M18" s="7"/>
      <c r="N18" s="7"/>
      <c r="O18" s="7"/>
      <c r="P18" s="7"/>
      <c r="Q18" s="7"/>
      <c r="R18" s="7"/>
      <c r="S18" s="7"/>
      <c r="T18" s="7"/>
      <c r="U18" s="17"/>
    </row>
    <row r="19" spans="1:21">
      <c r="A19" t="s">
        <v>13</v>
      </c>
      <c r="B19" s="10">
        <v>0</v>
      </c>
      <c r="C19" s="7">
        <v>22312926.356313027</v>
      </c>
      <c r="D19" s="7">
        <v>0</v>
      </c>
      <c r="E19" s="7">
        <v>0</v>
      </c>
      <c r="F19" s="17">
        <f t="shared" si="0"/>
        <v>22312926.356313027</v>
      </c>
      <c r="H19" s="4" t="s">
        <v>72</v>
      </c>
      <c r="I19" s="14">
        <v>298193534.79133999</v>
      </c>
      <c r="K19" s="10"/>
      <c r="L19" s="7"/>
      <c r="M19" s="7"/>
      <c r="N19" s="7"/>
      <c r="O19" s="7"/>
      <c r="P19" s="7"/>
      <c r="Q19" s="7"/>
      <c r="R19" s="7"/>
      <c r="S19" s="7"/>
      <c r="T19" s="7"/>
      <c r="U19" s="17"/>
    </row>
    <row r="20" spans="1:21">
      <c r="A20" t="s">
        <v>14</v>
      </c>
      <c r="B20" s="10">
        <v>0</v>
      </c>
      <c r="C20" s="7">
        <v>1308580.4263020961</v>
      </c>
      <c r="D20" s="7">
        <v>0</v>
      </c>
      <c r="E20" s="7">
        <v>0</v>
      </c>
      <c r="F20" s="17">
        <f t="shared" si="0"/>
        <v>1308580.4263020961</v>
      </c>
      <c r="H20" s="4" t="s">
        <v>73</v>
      </c>
      <c r="I20" s="14">
        <v>0</v>
      </c>
      <c r="K20" s="10"/>
      <c r="L20" s="7"/>
      <c r="M20" s="7"/>
      <c r="N20" s="7"/>
      <c r="O20" s="7"/>
      <c r="P20" s="7"/>
      <c r="Q20" s="7"/>
      <c r="R20" s="7"/>
      <c r="S20" s="7"/>
      <c r="T20" s="7"/>
      <c r="U20" s="17"/>
    </row>
    <row r="21" spans="1:21">
      <c r="A21" t="s">
        <v>15</v>
      </c>
      <c r="B21" s="10">
        <v>0</v>
      </c>
      <c r="C21" s="7">
        <v>4030314.0853484259</v>
      </c>
      <c r="D21" s="7">
        <v>0</v>
      </c>
      <c r="E21" s="7">
        <v>0</v>
      </c>
      <c r="F21" s="17">
        <f t="shared" si="0"/>
        <v>4030314.0853484259</v>
      </c>
      <c r="H21" s="4" t="s">
        <v>74</v>
      </c>
      <c r="I21" s="14"/>
      <c r="K21" s="10"/>
      <c r="L21" s="7"/>
      <c r="M21" s="7"/>
      <c r="N21" s="7"/>
      <c r="O21" s="7"/>
      <c r="P21" s="7"/>
      <c r="Q21" s="7"/>
      <c r="R21" s="7"/>
      <c r="S21" s="7"/>
      <c r="T21" s="7"/>
      <c r="U21" s="17"/>
    </row>
    <row r="22" spans="1:21">
      <c r="A22" t="s">
        <v>16</v>
      </c>
      <c r="B22" s="10">
        <v>0</v>
      </c>
      <c r="C22" s="7">
        <v>19585.669796365808</v>
      </c>
      <c r="D22" s="7">
        <v>0</v>
      </c>
      <c r="E22" s="7">
        <v>0</v>
      </c>
      <c r="F22" s="17">
        <f t="shared" si="0"/>
        <v>19585.669796365808</v>
      </c>
      <c r="H22" s="4" t="s">
        <v>75</v>
      </c>
      <c r="I22" s="14">
        <v>0</v>
      </c>
      <c r="K22" s="10"/>
      <c r="L22" s="7"/>
      <c r="M22" s="7"/>
      <c r="N22" s="7"/>
      <c r="O22" s="7"/>
      <c r="P22" s="7"/>
      <c r="Q22" s="7"/>
      <c r="R22" s="7"/>
      <c r="S22" s="7"/>
      <c r="T22" s="7"/>
      <c r="U22" s="17"/>
    </row>
    <row r="23" spans="1:21">
      <c r="A23" t="s">
        <v>17</v>
      </c>
      <c r="B23" s="10">
        <v>0</v>
      </c>
      <c r="C23" s="7">
        <v>1141919.9591436698</v>
      </c>
      <c r="D23" s="7">
        <v>0</v>
      </c>
      <c r="E23" s="7">
        <v>0</v>
      </c>
      <c r="F23" s="17">
        <f t="shared" si="0"/>
        <v>1141919.9591436698</v>
      </c>
      <c r="H23" s="4" t="s">
        <v>76</v>
      </c>
      <c r="I23" s="14"/>
      <c r="K23" s="10"/>
      <c r="L23" s="7"/>
      <c r="M23" s="7"/>
      <c r="N23" s="7"/>
      <c r="O23" s="7"/>
      <c r="P23" s="7"/>
      <c r="Q23" s="7"/>
      <c r="R23" s="7"/>
      <c r="S23" s="7"/>
      <c r="T23" s="7"/>
      <c r="U23" s="17"/>
    </row>
    <row r="24" spans="1:21">
      <c r="A24" t="s">
        <v>18</v>
      </c>
      <c r="B24" s="10">
        <v>0</v>
      </c>
      <c r="C24" s="7">
        <v>7407.0538743933221</v>
      </c>
      <c r="D24" s="7">
        <v>0</v>
      </c>
      <c r="E24" s="7">
        <v>0</v>
      </c>
      <c r="F24" s="17">
        <f t="shared" si="0"/>
        <v>7407.0538743933221</v>
      </c>
      <c r="H24" s="4" t="s">
        <v>77</v>
      </c>
      <c r="I24" s="14">
        <v>0</v>
      </c>
      <c r="K24" s="10"/>
      <c r="L24" s="7"/>
      <c r="M24" s="7"/>
      <c r="N24" s="7"/>
      <c r="O24" s="7"/>
      <c r="P24" s="7"/>
      <c r="Q24" s="7"/>
      <c r="R24" s="7"/>
      <c r="S24" s="7"/>
      <c r="T24" s="7"/>
      <c r="U24" s="17"/>
    </row>
    <row r="25" spans="1:21">
      <c r="A25" t="s">
        <v>19</v>
      </c>
      <c r="B25" s="10">
        <v>0</v>
      </c>
      <c r="C25" s="7">
        <v>1360363.9815374659</v>
      </c>
      <c r="D25" s="7">
        <v>0</v>
      </c>
      <c r="E25" s="7">
        <v>0</v>
      </c>
      <c r="F25" s="17">
        <f t="shared" si="0"/>
        <v>1360363.9815374659</v>
      </c>
      <c r="H25" s="4"/>
      <c r="I25" s="14"/>
      <c r="K25" s="10"/>
      <c r="L25" s="7"/>
      <c r="M25" s="7"/>
      <c r="N25" s="7"/>
      <c r="O25" s="7"/>
      <c r="P25" s="7"/>
      <c r="Q25" s="7"/>
      <c r="R25" s="7"/>
      <c r="S25" s="7"/>
      <c r="T25" s="7"/>
      <c r="U25" s="17"/>
    </row>
    <row r="26" spans="1:21">
      <c r="A26" t="s">
        <v>20</v>
      </c>
      <c r="B26" s="10">
        <v>0</v>
      </c>
      <c r="C26" s="7">
        <v>5999673.3462586813</v>
      </c>
      <c r="D26" s="7">
        <v>0</v>
      </c>
      <c r="E26" s="7">
        <v>0</v>
      </c>
      <c r="F26" s="17">
        <f t="shared" si="0"/>
        <v>5999673.3462586813</v>
      </c>
      <c r="H26" s="4" t="s">
        <v>78</v>
      </c>
      <c r="I26" s="14">
        <f>SUM(I10:I16)-SUM(I19:I24)</f>
        <v>764488820.75965965</v>
      </c>
      <c r="K26" s="10"/>
      <c r="L26" s="7"/>
      <c r="M26" s="7"/>
      <c r="N26" s="7"/>
      <c r="O26" s="7"/>
      <c r="P26" s="7"/>
      <c r="Q26" s="7"/>
      <c r="R26" s="7"/>
      <c r="S26" s="7"/>
      <c r="T26" s="7"/>
      <c r="U26" s="17"/>
    </row>
    <row r="27" spans="1:21">
      <c r="A27" t="s">
        <v>21</v>
      </c>
      <c r="B27" s="10">
        <v>0</v>
      </c>
      <c r="C27" s="7">
        <v>66254.725266659327</v>
      </c>
      <c r="D27" s="7">
        <v>0</v>
      </c>
      <c r="E27" s="7">
        <v>0</v>
      </c>
      <c r="F27" s="17">
        <f t="shared" si="0"/>
        <v>66254.725266659327</v>
      </c>
      <c r="H27" s="4" t="s">
        <v>79</v>
      </c>
      <c r="I27" s="14">
        <f>+F60</f>
        <v>764488820.75966001</v>
      </c>
      <c r="K27" s="10"/>
      <c r="L27" s="7"/>
      <c r="M27" s="7"/>
      <c r="N27" s="7"/>
      <c r="O27" s="7"/>
      <c r="P27" s="7"/>
      <c r="Q27" s="7"/>
      <c r="R27" s="7"/>
      <c r="S27" s="7"/>
      <c r="T27" s="7"/>
      <c r="U27" s="17"/>
    </row>
    <row r="28" spans="1:21">
      <c r="A28" t="s">
        <v>22</v>
      </c>
      <c r="B28" s="10">
        <v>0</v>
      </c>
      <c r="C28" s="7">
        <v>12462840.79797321</v>
      </c>
      <c r="D28" s="7">
        <v>0</v>
      </c>
      <c r="E28" s="7">
        <v>0</v>
      </c>
      <c r="F28" s="17">
        <f t="shared" si="0"/>
        <v>12462840.79797321</v>
      </c>
      <c r="H28" s="23"/>
      <c r="I28" s="25"/>
      <c r="K28" s="10"/>
      <c r="L28" s="7"/>
      <c r="M28" s="7"/>
      <c r="N28" s="7"/>
      <c r="O28" s="7"/>
      <c r="P28" s="7"/>
      <c r="Q28" s="7"/>
      <c r="R28" s="7"/>
      <c r="S28" s="7"/>
      <c r="T28" s="7"/>
      <c r="U28" s="17"/>
    </row>
    <row r="29" spans="1:21">
      <c r="A29" t="s">
        <v>23</v>
      </c>
      <c r="B29" s="10">
        <v>0</v>
      </c>
      <c r="C29" s="7">
        <v>4065621.4449244356</v>
      </c>
      <c r="D29" s="7">
        <v>0</v>
      </c>
      <c r="E29" s="7">
        <v>0</v>
      </c>
      <c r="F29" s="17">
        <f t="shared" si="0"/>
        <v>4065621.4449244356</v>
      </c>
      <c r="K29" s="10"/>
      <c r="L29" s="7"/>
      <c r="M29" s="7"/>
      <c r="N29" s="7"/>
      <c r="O29" s="7"/>
      <c r="P29" s="7"/>
      <c r="Q29" s="7"/>
      <c r="R29" s="7"/>
      <c r="S29" s="7"/>
      <c r="T29" s="7"/>
      <c r="U29" s="17"/>
    </row>
    <row r="30" spans="1:21">
      <c r="A30" t="s">
        <v>24</v>
      </c>
      <c r="B30" s="10">
        <v>0</v>
      </c>
      <c r="C30" s="7">
        <v>665904.84300070221</v>
      </c>
      <c r="D30" s="7">
        <v>0</v>
      </c>
      <c r="E30" s="7">
        <v>0</v>
      </c>
      <c r="F30" s="17">
        <f t="shared" si="0"/>
        <v>665904.84300070221</v>
      </c>
      <c r="K30" s="10"/>
      <c r="L30" s="7"/>
      <c r="M30" s="7"/>
      <c r="N30" s="7"/>
      <c r="O30" s="7"/>
      <c r="P30" s="7"/>
      <c r="Q30" s="7"/>
      <c r="R30" s="7"/>
      <c r="S30" s="7"/>
      <c r="T30" s="7"/>
      <c r="U30" s="17"/>
    </row>
    <row r="31" spans="1:21">
      <c r="A31" t="s">
        <v>25</v>
      </c>
      <c r="B31" s="10">
        <v>0</v>
      </c>
      <c r="C31" s="7">
        <v>25269.513566053633</v>
      </c>
      <c r="D31" s="7">
        <v>0</v>
      </c>
      <c r="E31" s="7">
        <v>0</v>
      </c>
      <c r="F31" s="17">
        <f t="shared" si="0"/>
        <v>25269.513566053633</v>
      </c>
      <c r="K31" s="10"/>
      <c r="L31" s="7"/>
      <c r="M31" s="7"/>
      <c r="N31" s="7"/>
      <c r="O31" s="7"/>
      <c r="P31" s="7"/>
      <c r="Q31" s="7"/>
      <c r="R31" s="7"/>
      <c r="S31" s="7"/>
      <c r="T31" s="7"/>
      <c r="U31" s="17"/>
    </row>
    <row r="32" spans="1:21" ht="15" customHeight="1">
      <c r="A32" t="s">
        <v>26</v>
      </c>
      <c r="B32" s="10">
        <v>0</v>
      </c>
      <c r="C32" s="7">
        <v>787380.58945637243</v>
      </c>
      <c r="D32" s="7">
        <v>0</v>
      </c>
      <c r="E32" s="7">
        <v>0</v>
      </c>
      <c r="F32" s="17">
        <f t="shared" si="0"/>
        <v>787380.58945637243</v>
      </c>
      <c r="H32" s="147" t="s">
        <v>440</v>
      </c>
      <c r="I32" s="147"/>
      <c r="K32" s="10"/>
      <c r="L32" s="7"/>
      <c r="M32" s="7"/>
      <c r="N32" s="7"/>
      <c r="O32" s="7"/>
      <c r="P32" s="7"/>
      <c r="Q32" s="7"/>
      <c r="R32" s="7"/>
      <c r="S32" s="7"/>
      <c r="T32" s="7"/>
      <c r="U32" s="17"/>
    </row>
    <row r="33" spans="1:21">
      <c r="A33" t="s">
        <v>27</v>
      </c>
      <c r="B33" s="10">
        <v>0</v>
      </c>
      <c r="C33" s="7">
        <v>583368.61910023075</v>
      </c>
      <c r="D33" s="7">
        <v>0</v>
      </c>
      <c r="E33" s="7">
        <v>0</v>
      </c>
      <c r="F33" s="17">
        <f t="shared" si="0"/>
        <v>583368.61910023075</v>
      </c>
      <c r="H33" s="147"/>
      <c r="I33" s="147"/>
      <c r="K33" s="10"/>
      <c r="L33" s="7"/>
      <c r="M33" s="7"/>
      <c r="N33" s="7"/>
      <c r="O33" s="7"/>
      <c r="P33" s="7"/>
      <c r="Q33" s="7"/>
      <c r="R33" s="7"/>
      <c r="S33" s="7"/>
      <c r="T33" s="7"/>
      <c r="U33" s="17"/>
    </row>
    <row r="34" spans="1:21">
      <c r="A34" t="s">
        <v>28</v>
      </c>
      <c r="B34" s="10">
        <v>0</v>
      </c>
      <c r="C34" s="7">
        <v>278946.65600472572</v>
      </c>
      <c r="D34" s="7">
        <v>0</v>
      </c>
      <c r="E34" s="7">
        <v>0</v>
      </c>
      <c r="F34" s="17">
        <f t="shared" si="0"/>
        <v>278946.65600472572</v>
      </c>
      <c r="H34" s="147"/>
      <c r="I34" s="147"/>
      <c r="K34" s="10"/>
      <c r="L34" s="7"/>
      <c r="M34" s="7"/>
      <c r="N34" s="7"/>
      <c r="O34" s="7"/>
      <c r="P34" s="7"/>
      <c r="Q34" s="7"/>
      <c r="R34" s="7"/>
      <c r="S34" s="7"/>
      <c r="T34" s="7"/>
      <c r="U34" s="17"/>
    </row>
    <row r="35" spans="1:21">
      <c r="A35" t="s">
        <v>29</v>
      </c>
      <c r="B35" s="10">
        <v>0</v>
      </c>
      <c r="C35" s="7">
        <v>1903006.7181439309</v>
      </c>
      <c r="D35" s="7">
        <v>0</v>
      </c>
      <c r="E35" s="7">
        <v>0</v>
      </c>
      <c r="F35" s="17">
        <f t="shared" si="0"/>
        <v>1903006.7181439309</v>
      </c>
      <c r="H35" s="147"/>
      <c r="I35" s="147"/>
      <c r="K35" s="10"/>
      <c r="L35" s="7"/>
      <c r="M35" s="7"/>
      <c r="N35" s="7"/>
      <c r="O35" s="7"/>
      <c r="P35" s="7"/>
      <c r="Q35" s="7"/>
      <c r="R35" s="7"/>
      <c r="S35" s="7"/>
      <c r="T35" s="7"/>
      <c r="U35" s="17"/>
    </row>
    <row r="36" spans="1:21">
      <c r="A36" t="s">
        <v>30</v>
      </c>
      <c r="B36" s="10">
        <v>0</v>
      </c>
      <c r="C36" s="7">
        <v>55463518.58575248</v>
      </c>
      <c r="D36" s="7">
        <v>0</v>
      </c>
      <c r="E36" s="7">
        <v>0</v>
      </c>
      <c r="F36" s="17">
        <f t="shared" si="0"/>
        <v>55463518.58575248</v>
      </c>
      <c r="H36" t="s">
        <v>441</v>
      </c>
      <c r="K36" s="10"/>
      <c r="L36" s="7"/>
      <c r="M36" s="7"/>
      <c r="N36" s="7"/>
      <c r="O36" s="7"/>
      <c r="P36" s="7"/>
      <c r="Q36" s="7"/>
      <c r="R36" s="7"/>
      <c r="S36" s="7"/>
      <c r="T36" s="7"/>
      <c r="U36" s="17"/>
    </row>
    <row r="37" spans="1:21">
      <c r="A37" t="s">
        <v>31</v>
      </c>
      <c r="B37" s="10">
        <v>0</v>
      </c>
      <c r="C37" s="7">
        <v>370397.35447174078</v>
      </c>
      <c r="D37" s="7">
        <v>0</v>
      </c>
      <c r="E37" s="7">
        <v>0</v>
      </c>
      <c r="F37" s="17">
        <f t="shared" si="0"/>
        <v>370397.35447174078</v>
      </c>
      <c r="K37" s="10"/>
      <c r="L37" s="7"/>
      <c r="M37" s="7"/>
      <c r="N37" s="7"/>
      <c r="O37" s="7"/>
      <c r="P37" s="7"/>
      <c r="Q37" s="7"/>
      <c r="R37" s="7"/>
      <c r="S37" s="7"/>
      <c r="T37" s="7"/>
      <c r="U37" s="17"/>
    </row>
    <row r="38" spans="1:21">
      <c r="A38" t="s">
        <v>32</v>
      </c>
      <c r="B38" s="10">
        <v>0</v>
      </c>
      <c r="C38" s="7">
        <v>497150624.36854577</v>
      </c>
      <c r="D38" s="7">
        <v>0</v>
      </c>
      <c r="E38" s="7">
        <v>0</v>
      </c>
      <c r="F38" s="17">
        <f t="shared" ref="F38:F58" si="1">SUM(B38:E38)</f>
        <v>497150624.36854577</v>
      </c>
      <c r="K38" s="10">
        <v>4999627</v>
      </c>
      <c r="L38" s="7">
        <v>0</v>
      </c>
      <c r="M38" s="7"/>
      <c r="N38" s="7">
        <v>0</v>
      </c>
      <c r="O38" s="7">
        <v>0</v>
      </c>
      <c r="P38" s="7"/>
      <c r="Q38" s="7">
        <v>0</v>
      </c>
      <c r="R38" s="7">
        <v>0</v>
      </c>
      <c r="S38" s="7"/>
      <c r="T38" s="7">
        <v>0</v>
      </c>
      <c r="U38" s="17">
        <v>0</v>
      </c>
    </row>
    <row r="39" spans="1:21">
      <c r="A39" t="s">
        <v>33</v>
      </c>
      <c r="B39" s="10">
        <v>0</v>
      </c>
      <c r="C39" s="7">
        <v>20149480.951201867</v>
      </c>
      <c r="D39" s="7">
        <v>0</v>
      </c>
      <c r="E39" s="7">
        <v>0</v>
      </c>
      <c r="F39" s="17">
        <f t="shared" si="1"/>
        <v>20149480.951201867</v>
      </c>
      <c r="K39" s="10"/>
      <c r="L39" s="7"/>
      <c r="M39" s="7"/>
      <c r="N39" s="7"/>
      <c r="O39" s="7"/>
      <c r="P39" s="7"/>
      <c r="Q39" s="7"/>
      <c r="R39" s="7"/>
      <c r="S39" s="7"/>
      <c r="T39" s="7"/>
      <c r="U39" s="17"/>
    </row>
    <row r="40" spans="1:21">
      <c r="A40" t="s">
        <v>34</v>
      </c>
      <c r="B40" s="10">
        <v>0</v>
      </c>
      <c r="C40" s="7">
        <v>2468.5100000000002</v>
      </c>
      <c r="D40" s="7">
        <v>0</v>
      </c>
      <c r="E40" s="7">
        <v>0</v>
      </c>
      <c r="F40" s="17">
        <f t="shared" si="1"/>
        <v>2468.5100000000002</v>
      </c>
      <c r="K40" s="10"/>
      <c r="L40" s="7"/>
      <c r="M40" s="7"/>
      <c r="N40" s="7"/>
      <c r="O40" s="7"/>
      <c r="P40" s="7"/>
      <c r="Q40" s="7"/>
      <c r="R40" s="7"/>
      <c r="S40" s="7"/>
      <c r="T40" s="7"/>
      <c r="U40" s="17"/>
    </row>
    <row r="41" spans="1:21">
      <c r="A41" t="s">
        <v>35</v>
      </c>
      <c r="B41" s="10">
        <v>0</v>
      </c>
      <c r="C41" s="7">
        <v>5267757.4521415532</v>
      </c>
      <c r="D41" s="7">
        <v>0</v>
      </c>
      <c r="E41" s="7">
        <v>0</v>
      </c>
      <c r="F41" s="17">
        <f t="shared" si="1"/>
        <v>5267757.4521415532</v>
      </c>
      <c r="K41" s="10"/>
      <c r="L41" s="7"/>
      <c r="M41" s="7"/>
      <c r="N41" s="7"/>
      <c r="O41" s="7"/>
      <c r="P41" s="7"/>
      <c r="Q41" s="7"/>
      <c r="R41" s="7"/>
      <c r="S41" s="7"/>
      <c r="T41" s="7"/>
      <c r="U41" s="17"/>
    </row>
    <row r="42" spans="1:21">
      <c r="A42" t="s">
        <v>36</v>
      </c>
      <c r="B42" s="10">
        <v>0</v>
      </c>
      <c r="C42" s="7">
        <v>265907.68363398442</v>
      </c>
      <c r="D42" s="7">
        <v>0</v>
      </c>
      <c r="E42" s="7">
        <v>0</v>
      </c>
      <c r="F42" s="17">
        <f t="shared" si="1"/>
        <v>265907.68363398442</v>
      </c>
      <c r="K42" s="10"/>
      <c r="L42" s="7"/>
      <c r="M42" s="7"/>
      <c r="N42" s="7"/>
      <c r="O42" s="7"/>
      <c r="P42" s="7"/>
      <c r="Q42" s="7"/>
      <c r="R42" s="7"/>
      <c r="S42" s="7"/>
      <c r="T42" s="7"/>
      <c r="U42" s="17"/>
    </row>
    <row r="43" spans="1:21">
      <c r="A43" t="s">
        <v>37</v>
      </c>
      <c r="B43" s="10">
        <v>0</v>
      </c>
      <c r="C43" s="7">
        <v>37653.981881174092</v>
      </c>
      <c r="D43" s="7">
        <v>0</v>
      </c>
      <c r="E43" s="7">
        <v>0</v>
      </c>
      <c r="F43" s="17">
        <f t="shared" si="1"/>
        <v>37653.981881174092</v>
      </c>
      <c r="K43" s="10"/>
      <c r="L43" s="7"/>
      <c r="M43" s="7"/>
      <c r="N43" s="7"/>
      <c r="O43" s="7"/>
      <c r="P43" s="7"/>
      <c r="Q43" s="7"/>
      <c r="R43" s="7"/>
      <c r="S43" s="7"/>
      <c r="T43" s="7"/>
      <c r="U43" s="17"/>
    </row>
    <row r="44" spans="1:21">
      <c r="A44" t="s">
        <v>38</v>
      </c>
      <c r="B44" s="10">
        <v>0</v>
      </c>
      <c r="C44" s="7">
        <v>46481675.032119498</v>
      </c>
      <c r="D44" s="7">
        <v>0</v>
      </c>
      <c r="E44" s="7">
        <v>0</v>
      </c>
      <c r="F44" s="17">
        <f t="shared" si="1"/>
        <v>46481675.032119498</v>
      </c>
      <c r="K44" s="10"/>
      <c r="L44" s="7"/>
      <c r="M44" s="7"/>
      <c r="N44" s="7"/>
      <c r="O44" s="7"/>
      <c r="P44" s="7"/>
      <c r="Q44" s="7"/>
      <c r="R44" s="7"/>
      <c r="S44" s="7"/>
      <c r="T44" s="7"/>
      <c r="U44" s="17"/>
    </row>
    <row r="45" spans="1:21">
      <c r="A45" t="s">
        <v>39</v>
      </c>
      <c r="B45" s="10">
        <v>0</v>
      </c>
      <c r="C45" s="7">
        <v>48357.292082522406</v>
      </c>
      <c r="D45" s="7">
        <v>0</v>
      </c>
      <c r="E45" s="7">
        <v>0</v>
      </c>
      <c r="F45" s="17">
        <f t="shared" si="1"/>
        <v>48357.292082522406</v>
      </c>
      <c r="K45" s="10"/>
      <c r="L45" s="7"/>
      <c r="M45" s="7"/>
      <c r="N45" s="7"/>
      <c r="O45" s="7"/>
      <c r="P45" s="7"/>
      <c r="Q45" s="7"/>
      <c r="R45" s="7"/>
      <c r="S45" s="7"/>
      <c r="T45" s="7"/>
      <c r="U45" s="17"/>
    </row>
    <row r="46" spans="1:21">
      <c r="A46" t="s">
        <v>40</v>
      </c>
      <c r="B46" s="10">
        <v>0</v>
      </c>
      <c r="C46" s="7">
        <v>4735576.6568504563</v>
      </c>
      <c r="D46" s="7">
        <v>0</v>
      </c>
      <c r="E46" s="7">
        <v>0</v>
      </c>
      <c r="F46" s="17">
        <f t="shared" si="1"/>
        <v>4735576.6568504563</v>
      </c>
      <c r="K46" s="10"/>
      <c r="L46" s="7"/>
      <c r="M46" s="7"/>
      <c r="N46" s="7"/>
      <c r="O46" s="7"/>
      <c r="P46" s="7"/>
      <c r="Q46" s="7"/>
      <c r="R46" s="7"/>
      <c r="S46" s="7"/>
      <c r="T46" s="7"/>
      <c r="U46" s="17"/>
    </row>
    <row r="47" spans="1:21">
      <c r="A47" t="s">
        <v>41</v>
      </c>
      <c r="B47" s="10">
        <v>0</v>
      </c>
      <c r="C47" s="7">
        <v>993082.22434576321</v>
      </c>
      <c r="D47" s="7">
        <v>0</v>
      </c>
      <c r="E47" s="7">
        <v>0</v>
      </c>
      <c r="F47" s="17">
        <f t="shared" si="1"/>
        <v>993082.22434576321</v>
      </c>
      <c r="K47" s="10">
        <v>0</v>
      </c>
      <c r="L47" s="7">
        <v>0</v>
      </c>
      <c r="M47" s="7"/>
      <c r="N47" s="7">
        <v>1000000</v>
      </c>
      <c r="O47" s="7">
        <v>0</v>
      </c>
      <c r="P47" s="7"/>
      <c r="Q47" s="7">
        <v>0</v>
      </c>
      <c r="R47" s="7">
        <v>0</v>
      </c>
      <c r="S47" s="7"/>
      <c r="T47" s="7">
        <v>0</v>
      </c>
      <c r="U47" s="17">
        <v>0</v>
      </c>
    </row>
    <row r="48" spans="1:21">
      <c r="A48" t="s">
        <v>42</v>
      </c>
      <c r="B48" s="10">
        <v>0</v>
      </c>
      <c r="C48" s="7">
        <v>835155.81932381156</v>
      </c>
      <c r="D48" s="7">
        <v>0</v>
      </c>
      <c r="E48" s="7">
        <v>0</v>
      </c>
      <c r="F48" s="17">
        <f t="shared" si="1"/>
        <v>835155.81932381156</v>
      </c>
      <c r="K48" s="10"/>
      <c r="L48" s="7"/>
      <c r="M48" s="7"/>
      <c r="N48" s="7"/>
      <c r="O48" s="7"/>
      <c r="P48" s="7"/>
      <c r="Q48" s="7"/>
      <c r="R48" s="7"/>
      <c r="S48" s="7"/>
      <c r="T48" s="7"/>
      <c r="U48" s="17"/>
    </row>
    <row r="49" spans="1:21">
      <c r="A49" t="s">
        <v>43</v>
      </c>
      <c r="B49" s="10">
        <v>0</v>
      </c>
      <c r="C49" s="7">
        <v>1727200.8483493188</v>
      </c>
      <c r="D49" s="7">
        <v>0</v>
      </c>
      <c r="E49" s="7">
        <v>0</v>
      </c>
      <c r="F49" s="17">
        <f t="shared" si="1"/>
        <v>1727200.8483493188</v>
      </c>
      <c r="K49" s="10"/>
      <c r="L49" s="7"/>
      <c r="M49" s="7"/>
      <c r="N49" s="7"/>
      <c r="O49" s="7"/>
      <c r="P49" s="7"/>
      <c r="Q49" s="7"/>
      <c r="R49" s="7"/>
      <c r="S49" s="7"/>
      <c r="T49" s="7"/>
      <c r="U49" s="17"/>
    </row>
    <row r="50" spans="1:21">
      <c r="A50" t="s">
        <v>44</v>
      </c>
      <c r="B50" s="10">
        <v>0</v>
      </c>
      <c r="C50" s="7">
        <v>260743.88189794714</v>
      </c>
      <c r="D50" s="7">
        <v>0</v>
      </c>
      <c r="E50" s="7">
        <v>0</v>
      </c>
      <c r="F50" s="17">
        <f t="shared" si="1"/>
        <v>260743.88189794714</v>
      </c>
      <c r="K50" s="10"/>
      <c r="L50" s="7"/>
      <c r="M50" s="7"/>
      <c r="N50" s="7"/>
      <c r="O50" s="7"/>
      <c r="P50" s="7"/>
      <c r="Q50" s="7"/>
      <c r="R50" s="7"/>
      <c r="S50" s="7"/>
      <c r="T50" s="7"/>
      <c r="U50" s="17"/>
    </row>
    <row r="51" spans="1:21">
      <c r="A51" t="s">
        <v>45</v>
      </c>
      <c r="B51" s="10">
        <v>0</v>
      </c>
      <c r="C51" s="7">
        <v>720243.54535304732</v>
      </c>
      <c r="D51" s="7">
        <v>0</v>
      </c>
      <c r="E51" s="7">
        <v>0</v>
      </c>
      <c r="F51" s="17">
        <f t="shared" si="1"/>
        <v>720243.54535304732</v>
      </c>
      <c r="K51" s="10"/>
      <c r="L51" s="7"/>
      <c r="M51" s="7"/>
      <c r="N51" s="7"/>
      <c r="O51" s="7"/>
      <c r="P51" s="7"/>
      <c r="Q51" s="7"/>
      <c r="R51" s="7"/>
      <c r="S51" s="7"/>
      <c r="T51" s="7"/>
      <c r="U51" s="17"/>
    </row>
    <row r="52" spans="1:21">
      <c r="A52" t="s">
        <v>46</v>
      </c>
      <c r="B52" s="10">
        <v>0</v>
      </c>
      <c r="C52" s="7">
        <v>970214.27906829352</v>
      </c>
      <c r="D52" s="7">
        <v>0</v>
      </c>
      <c r="E52" s="7">
        <v>0</v>
      </c>
      <c r="F52" s="17">
        <f t="shared" si="1"/>
        <v>970214.27906829352</v>
      </c>
      <c r="K52" s="10"/>
      <c r="L52" s="7"/>
      <c r="M52" s="7"/>
      <c r="N52" s="7"/>
      <c r="O52" s="7"/>
      <c r="P52" s="7"/>
      <c r="Q52" s="7"/>
      <c r="R52" s="7"/>
      <c r="S52" s="7"/>
      <c r="T52" s="7"/>
      <c r="U52" s="17"/>
    </row>
    <row r="53" spans="1:21">
      <c r="A53" t="s">
        <v>47</v>
      </c>
      <c r="B53" s="10">
        <v>0</v>
      </c>
      <c r="C53" s="7">
        <v>2697064.1332988241</v>
      </c>
      <c r="D53" s="7">
        <v>0</v>
      </c>
      <c r="E53" s="7">
        <v>0</v>
      </c>
      <c r="F53" s="17">
        <f t="shared" si="1"/>
        <v>2697064.1332988241</v>
      </c>
      <c r="K53" s="10"/>
      <c r="L53" s="7"/>
      <c r="M53" s="7"/>
      <c r="N53" s="7"/>
      <c r="O53" s="7"/>
      <c r="P53" s="7"/>
      <c r="Q53" s="7"/>
      <c r="R53" s="7"/>
      <c r="S53" s="7"/>
      <c r="T53" s="7"/>
      <c r="U53" s="17"/>
    </row>
    <row r="54" spans="1:21">
      <c r="A54" t="s">
        <v>48</v>
      </c>
      <c r="B54" s="10">
        <v>0</v>
      </c>
      <c r="C54" s="7">
        <v>5391546.5248055244</v>
      </c>
      <c r="D54" s="7">
        <v>0</v>
      </c>
      <c r="E54" s="7">
        <v>0</v>
      </c>
      <c r="F54" s="17">
        <f t="shared" si="1"/>
        <v>5391546.5248055244</v>
      </c>
      <c r="K54" s="10"/>
      <c r="L54" s="7"/>
      <c r="M54" s="7"/>
      <c r="N54" s="7"/>
      <c r="O54" s="7"/>
      <c r="P54" s="7"/>
      <c r="Q54" s="7"/>
      <c r="R54" s="7"/>
      <c r="S54" s="7"/>
      <c r="T54" s="7"/>
      <c r="U54" s="17"/>
    </row>
    <row r="55" spans="1:21">
      <c r="A55" t="s">
        <v>49</v>
      </c>
      <c r="B55" s="10">
        <v>0</v>
      </c>
      <c r="C55" s="7">
        <v>2062626.3313702808</v>
      </c>
      <c r="D55" s="7">
        <v>0</v>
      </c>
      <c r="E55" s="7">
        <v>0</v>
      </c>
      <c r="F55" s="17">
        <f t="shared" si="1"/>
        <v>2062626.3313702808</v>
      </c>
      <c r="K55" s="10"/>
      <c r="L55" s="7"/>
      <c r="M55" s="7"/>
      <c r="N55" s="7"/>
      <c r="O55" s="7"/>
      <c r="P55" s="7"/>
      <c r="Q55" s="7"/>
      <c r="R55" s="7"/>
      <c r="S55" s="7"/>
      <c r="T55" s="7"/>
      <c r="U55" s="17"/>
    </row>
    <row r="56" spans="1:21">
      <c r="A56" t="s">
        <v>50</v>
      </c>
      <c r="B56" s="10">
        <v>0</v>
      </c>
      <c r="C56" s="7">
        <v>108208.5584799627</v>
      </c>
      <c r="D56" s="7">
        <v>0</v>
      </c>
      <c r="E56" s="7">
        <v>0</v>
      </c>
      <c r="F56" s="17">
        <f t="shared" si="1"/>
        <v>108208.5584799627</v>
      </c>
      <c r="K56" s="10"/>
      <c r="L56" s="7"/>
      <c r="M56" s="7"/>
      <c r="N56" s="7"/>
      <c r="O56" s="7"/>
      <c r="P56" s="7"/>
      <c r="Q56" s="7"/>
      <c r="R56" s="7"/>
      <c r="S56" s="7"/>
      <c r="T56" s="7"/>
      <c r="U56" s="17"/>
    </row>
    <row r="57" spans="1:21">
      <c r="A57" t="s">
        <v>51</v>
      </c>
      <c r="B57" s="10">
        <v>0</v>
      </c>
      <c r="C57" s="7">
        <v>388592.00589794584</v>
      </c>
      <c r="D57" s="7">
        <v>0</v>
      </c>
      <c r="E57" s="7">
        <v>0</v>
      </c>
      <c r="F57" s="17">
        <f t="shared" si="1"/>
        <v>388592.00589794584</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764488820.75966001</v>
      </c>
      <c r="D60" s="7">
        <f>SUM(D6:D58)</f>
        <v>0</v>
      </c>
      <c r="E60" s="7">
        <f>SUM(E6:E58)</f>
        <v>0</v>
      </c>
      <c r="F60" s="17">
        <f>SUM(F6:F58)</f>
        <v>764488820.75966001</v>
      </c>
      <c r="K60" s="10">
        <f>SUM(K6:K58)</f>
        <v>4999627</v>
      </c>
      <c r="L60" s="7">
        <f>SUM(L6:L58)</f>
        <v>0</v>
      </c>
      <c r="M60" s="7"/>
      <c r="N60" s="7">
        <f>SUM(N6:N58)</f>
        <v>1000000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9">
    <mergeCell ref="K62:U64"/>
    <mergeCell ref="A1:F1"/>
    <mergeCell ref="B3:F3"/>
    <mergeCell ref="K4:L4"/>
    <mergeCell ref="N4:O4"/>
    <mergeCell ref="Q4:R4"/>
    <mergeCell ref="T4:U4"/>
    <mergeCell ref="K3:U3"/>
    <mergeCell ref="H32:I35"/>
  </mergeCells>
  <printOptions horizontalCentered="1" verticalCentered="1"/>
  <pageMargins left="0.25" right="0.25" top="0.75" bottom="0.75" header="0.4" footer="0.4"/>
  <pageSetup scale="51" orientation="landscape" r:id="rId1"/>
  <headerFooter>
    <oddHeader>&amp;L&amp;"Geneva,Bold"&amp;D 
&amp;F &amp;C&amp;"Geneva,Bold Italic"Executive Life Insurance Company of New York&amp;R&amp;"Geneva,Bold"UNAUDITED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26260815</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388973</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770289.22430921777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-605559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3081877</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24943759.224309217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24943759.224309217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24943759.224309217</v>
      </c>
      <c r="C30" s="7">
        <v>0</v>
      </c>
      <c r="D30" s="7">
        <v>0</v>
      </c>
      <c r="E30" s="7">
        <v>0</v>
      </c>
      <c r="F30" s="17">
        <f t="shared" si="0"/>
        <v>24943759.224309217</v>
      </c>
      <c r="K30" s="10">
        <v>13800320</v>
      </c>
      <c r="L30" s="7">
        <v>0</v>
      </c>
      <c r="M30" s="7"/>
      <c r="N30" s="7">
        <v>4950590</v>
      </c>
      <c r="O30" s="7">
        <v>0</v>
      </c>
      <c r="P30" s="7"/>
      <c r="Q30" s="7">
        <v>0</v>
      </c>
      <c r="R30" s="7">
        <v>0</v>
      </c>
      <c r="S30" s="7"/>
      <c r="T30" s="7">
        <v>1518800</v>
      </c>
      <c r="U30" s="17">
        <v>0</v>
      </c>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24943759.224309217</v>
      </c>
      <c r="C60" s="7">
        <f>SUM(C6:C58)</f>
        <v>0</v>
      </c>
      <c r="D60" s="7">
        <f>SUM(D6:D58)</f>
        <v>0</v>
      </c>
      <c r="E60" s="7">
        <f>SUM(E6:E58)</f>
        <v>0</v>
      </c>
      <c r="F60" s="17">
        <f>SUM(F6:F58)</f>
        <v>24943759.224309217</v>
      </c>
      <c r="K60" s="10">
        <f>SUM(K6:K58)</f>
        <v>13800320</v>
      </c>
      <c r="L60" s="7">
        <f>SUM(L6:L58)</f>
        <v>0</v>
      </c>
      <c r="M60" s="7"/>
      <c r="N60" s="7">
        <f>SUM(N6:N58)</f>
        <v>4950590</v>
      </c>
      <c r="O60" s="7">
        <f>SUM(O6:O58)</f>
        <v>0</v>
      </c>
      <c r="P60" s="7"/>
      <c r="Q60" s="7">
        <f>SUM(Q6:Q58)</f>
        <v>0</v>
      </c>
      <c r="R60" s="7">
        <f>SUM(R6:R58)</f>
        <v>0</v>
      </c>
      <c r="S60" s="7"/>
      <c r="T60" s="7">
        <f>SUM(T6:T58)</f>
        <v>1518800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Italic"Family Guaranty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130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8850514</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325378.85531940853</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9175892.8553194087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9175892.8553194087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4710882.7731764968</v>
      </c>
      <c r="C42" s="7">
        <v>4465010.0821429119</v>
      </c>
      <c r="D42" s="7">
        <v>0</v>
      </c>
      <c r="E42" s="7">
        <v>0</v>
      </c>
      <c r="F42" s="17">
        <f t="shared" si="1"/>
        <v>9175892.8553194087</v>
      </c>
      <c r="K42" s="10">
        <v>7965000</v>
      </c>
      <c r="L42" s="7">
        <v>3015000</v>
      </c>
      <c r="M42" s="7"/>
      <c r="N42" s="7">
        <v>885000</v>
      </c>
      <c r="O42" s="7">
        <v>335000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4710882.7731764968</v>
      </c>
      <c r="C60" s="7">
        <f>SUM(C6:C58)</f>
        <v>4465010.0821429119</v>
      </c>
      <c r="D60" s="7">
        <f>SUM(D6:D58)</f>
        <v>0</v>
      </c>
      <c r="E60" s="7">
        <f>SUM(E6:E58)</f>
        <v>0</v>
      </c>
      <c r="F60" s="17">
        <f>SUM(F6:F58)</f>
        <v>9175892.8553194087</v>
      </c>
      <c r="K60" s="10">
        <f>SUM(K6:K58)</f>
        <v>7965000</v>
      </c>
      <c r="L60" s="7">
        <f>SUM(L6:L58)</f>
        <v>3015000</v>
      </c>
      <c r="M60" s="7"/>
      <c r="N60" s="7">
        <f>SUM(N6:N58)</f>
        <v>885000</v>
      </c>
      <c r="O60" s="7">
        <f>SUM(O6:O58)</f>
        <v>335000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Italic"Farmers &amp; Ranchers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1789.6933539138188</v>
      </c>
      <c r="C6" s="7">
        <v>382138.01796669379</v>
      </c>
      <c r="D6" s="7">
        <v>0</v>
      </c>
      <c r="E6" s="7">
        <v>0</v>
      </c>
      <c r="F6" s="17">
        <f t="shared" ref="F6:F37" si="0">SUM(B6:E6)</f>
        <v>383927.71132060763</v>
      </c>
      <c r="K6" s="10"/>
      <c r="L6" s="7"/>
      <c r="M6" s="7"/>
      <c r="N6" s="7"/>
      <c r="O6" s="7"/>
      <c r="P6" s="7"/>
      <c r="Q6" s="7"/>
      <c r="R6" s="7"/>
      <c r="S6" s="7"/>
      <c r="T6" s="7"/>
      <c r="U6" s="17"/>
    </row>
    <row r="7" spans="1:21">
      <c r="A7" t="s">
        <v>1</v>
      </c>
      <c r="B7" s="10">
        <v>719.04044713709231</v>
      </c>
      <c r="C7" s="7">
        <v>1862.9309170712888</v>
      </c>
      <c r="D7" s="7">
        <v>0</v>
      </c>
      <c r="E7" s="7">
        <v>0</v>
      </c>
      <c r="F7" s="17">
        <f t="shared" si="0"/>
        <v>2581.9713642083811</v>
      </c>
      <c r="H7" s="22"/>
      <c r="I7" s="24"/>
      <c r="K7" s="10">
        <v>4005</v>
      </c>
      <c r="L7" s="7">
        <v>30</v>
      </c>
      <c r="M7" s="7"/>
      <c r="N7" s="7">
        <v>6000</v>
      </c>
      <c r="O7" s="7">
        <v>20</v>
      </c>
      <c r="P7" s="7"/>
      <c r="Q7" s="7">
        <v>5</v>
      </c>
      <c r="R7" s="7">
        <v>0</v>
      </c>
      <c r="S7" s="7"/>
      <c r="T7" s="7">
        <v>0</v>
      </c>
      <c r="U7" s="17">
        <v>0</v>
      </c>
    </row>
    <row r="8" spans="1:21">
      <c r="A8" t="s">
        <v>2</v>
      </c>
      <c r="B8" s="10">
        <v>2303.9240096843673</v>
      </c>
      <c r="C8" s="7">
        <v>48745.424828996183</v>
      </c>
      <c r="D8" s="7">
        <v>0</v>
      </c>
      <c r="E8" s="7">
        <v>0</v>
      </c>
      <c r="F8" s="17">
        <f t="shared" si="0"/>
        <v>51049.348838680547</v>
      </c>
      <c r="H8" s="4" t="s">
        <v>64</v>
      </c>
      <c r="I8" s="13"/>
      <c r="K8" s="10"/>
      <c r="L8" s="7"/>
      <c r="M8" s="7"/>
      <c r="N8" s="7"/>
      <c r="O8" s="7"/>
      <c r="P8" s="7"/>
      <c r="Q8" s="7"/>
      <c r="R8" s="7"/>
      <c r="S8" s="7"/>
      <c r="T8" s="7"/>
      <c r="U8" s="17"/>
    </row>
    <row r="9" spans="1:21">
      <c r="A9" t="s">
        <v>3</v>
      </c>
      <c r="B9" s="10">
        <v>2246.8026850334982</v>
      </c>
      <c r="C9" s="7">
        <v>13147.081100847376</v>
      </c>
      <c r="D9" s="7">
        <v>0</v>
      </c>
      <c r="E9" s="7">
        <v>0</v>
      </c>
      <c r="F9" s="17">
        <f t="shared" si="0"/>
        <v>15393.883785880873</v>
      </c>
      <c r="H9" s="4"/>
      <c r="I9" s="13"/>
      <c r="K9" s="10">
        <v>36125</v>
      </c>
      <c r="L9" s="7">
        <v>0</v>
      </c>
      <c r="M9" s="7"/>
      <c r="N9" s="7">
        <v>0</v>
      </c>
      <c r="O9" s="7">
        <v>0</v>
      </c>
      <c r="P9" s="7"/>
      <c r="Q9" s="7">
        <v>0</v>
      </c>
      <c r="R9" s="7">
        <v>0</v>
      </c>
      <c r="S9" s="7"/>
      <c r="T9" s="7">
        <v>0</v>
      </c>
      <c r="U9" s="17">
        <v>0</v>
      </c>
    </row>
    <row r="10" spans="1:21">
      <c r="A10" t="s">
        <v>4</v>
      </c>
      <c r="B10" s="10">
        <v>30875.292615740578</v>
      </c>
      <c r="C10" s="7">
        <v>248426.14474738721</v>
      </c>
      <c r="D10" s="7">
        <v>0</v>
      </c>
      <c r="E10" s="7">
        <v>0</v>
      </c>
      <c r="F10" s="17">
        <f t="shared" si="0"/>
        <v>279301.43736312777</v>
      </c>
      <c r="H10" s="4" t="s">
        <v>65</v>
      </c>
      <c r="I10" s="14">
        <v>11499999</v>
      </c>
      <c r="K10" s="10">
        <v>205036</v>
      </c>
      <c r="L10" s="7">
        <v>0</v>
      </c>
      <c r="M10" s="7"/>
      <c r="N10" s="7">
        <v>314964</v>
      </c>
      <c r="O10" s="7">
        <v>0</v>
      </c>
      <c r="P10" s="7"/>
      <c r="Q10" s="7">
        <v>0</v>
      </c>
      <c r="R10" s="7">
        <v>0</v>
      </c>
      <c r="S10" s="7"/>
      <c r="T10" s="7">
        <v>0</v>
      </c>
      <c r="U10" s="17">
        <v>0</v>
      </c>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8957.3813102697077</v>
      </c>
      <c r="C12" s="7">
        <v>163083.8060710165</v>
      </c>
      <c r="D12" s="7">
        <v>0</v>
      </c>
      <c r="E12" s="7">
        <v>0</v>
      </c>
      <c r="F12" s="17">
        <f t="shared" si="0"/>
        <v>172041.1873812862</v>
      </c>
      <c r="H12" s="4" t="s">
        <v>66</v>
      </c>
      <c r="I12" s="14"/>
      <c r="K12" s="10">
        <v>210000</v>
      </c>
      <c r="L12" s="7">
        <v>0</v>
      </c>
      <c r="M12" s="7"/>
      <c r="N12" s="7">
        <v>0</v>
      </c>
      <c r="O12" s="7">
        <v>0</v>
      </c>
      <c r="P12" s="7"/>
      <c r="Q12" s="7">
        <v>0</v>
      </c>
      <c r="R12" s="7">
        <v>0</v>
      </c>
      <c r="S12" s="7"/>
      <c r="T12" s="7">
        <v>0</v>
      </c>
      <c r="U12" s="17">
        <v>0</v>
      </c>
    </row>
    <row r="13" spans="1:21">
      <c r="A13" t="s">
        <v>7</v>
      </c>
      <c r="B13" s="10">
        <v>811.18452726037071</v>
      </c>
      <c r="C13" s="7">
        <v>29679.686477746029</v>
      </c>
      <c r="D13" s="7">
        <v>0</v>
      </c>
      <c r="E13" s="7">
        <v>0</v>
      </c>
      <c r="F13" s="17">
        <f t="shared" si="0"/>
        <v>30490.8710050064</v>
      </c>
      <c r="H13" s="4" t="s">
        <v>67</v>
      </c>
      <c r="I13" s="14">
        <v>11499999</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11289.515677843541</v>
      </c>
      <c r="C15" s="7">
        <v>271171.88137833477</v>
      </c>
      <c r="D15" s="7">
        <v>0</v>
      </c>
      <c r="E15" s="7">
        <v>0</v>
      </c>
      <c r="F15" s="17">
        <f t="shared" si="0"/>
        <v>282461.39705617831</v>
      </c>
      <c r="H15" s="4" t="s">
        <v>69</v>
      </c>
      <c r="I15" s="14">
        <v>2924222.7000000011</v>
      </c>
      <c r="K15" s="10"/>
      <c r="L15" s="7"/>
      <c r="M15" s="7"/>
      <c r="N15" s="7"/>
      <c r="O15" s="7"/>
      <c r="P15" s="7"/>
      <c r="Q15" s="7"/>
      <c r="R15" s="7"/>
      <c r="S15" s="7"/>
      <c r="T15" s="7"/>
      <c r="U15" s="17"/>
    </row>
    <row r="16" spans="1:21">
      <c r="A16" t="s">
        <v>10</v>
      </c>
      <c r="B16" s="10">
        <v>10081.063045195402</v>
      </c>
      <c r="C16" s="7">
        <v>15500.610647089146</v>
      </c>
      <c r="D16" s="7">
        <v>0</v>
      </c>
      <c r="E16" s="7">
        <v>0</v>
      </c>
      <c r="F16" s="17">
        <f t="shared" si="0"/>
        <v>25581.673692284548</v>
      </c>
      <c r="H16" s="4" t="s">
        <v>70</v>
      </c>
      <c r="I16" s="14">
        <v>0</v>
      </c>
      <c r="K16" s="10"/>
      <c r="L16" s="7"/>
      <c r="M16" s="7"/>
      <c r="N16" s="7"/>
      <c r="O16" s="7"/>
      <c r="P16" s="7"/>
      <c r="Q16" s="7"/>
      <c r="R16" s="7"/>
      <c r="S16" s="7"/>
      <c r="T16" s="7"/>
      <c r="U16" s="17"/>
    </row>
    <row r="17" spans="1:21">
      <c r="A17" t="s">
        <v>11</v>
      </c>
      <c r="B17" s="10">
        <v>660.9976344492618</v>
      </c>
      <c r="C17" s="7">
        <v>18231.803675249605</v>
      </c>
      <c r="D17" s="7">
        <v>0</v>
      </c>
      <c r="E17" s="7">
        <v>0</v>
      </c>
      <c r="F17" s="17">
        <f t="shared" si="0"/>
        <v>18892.801309698865</v>
      </c>
      <c r="H17" s="4"/>
      <c r="I17" s="14"/>
      <c r="K17" s="10">
        <v>77</v>
      </c>
      <c r="L17" s="7">
        <v>0</v>
      </c>
      <c r="M17" s="7"/>
      <c r="N17" s="7">
        <v>1692</v>
      </c>
      <c r="O17" s="7">
        <v>0</v>
      </c>
      <c r="P17" s="7"/>
      <c r="Q17" s="7">
        <v>73</v>
      </c>
      <c r="R17" s="7">
        <v>0</v>
      </c>
      <c r="S17" s="7"/>
      <c r="T17" s="7">
        <v>0</v>
      </c>
      <c r="U17" s="17">
        <v>0</v>
      </c>
    </row>
    <row r="18" spans="1:21">
      <c r="A18" t="s">
        <v>12</v>
      </c>
      <c r="B18" s="10">
        <v>346.33465675919587</v>
      </c>
      <c r="C18" s="7">
        <v>157974.54716479566</v>
      </c>
      <c r="D18" s="7">
        <v>0</v>
      </c>
      <c r="E18" s="7">
        <v>0</v>
      </c>
      <c r="F18" s="17">
        <f t="shared" si="0"/>
        <v>158320.88182155485</v>
      </c>
      <c r="H18" s="4" t="s">
        <v>71</v>
      </c>
      <c r="I18" s="14"/>
      <c r="K18" s="10"/>
      <c r="L18" s="7"/>
      <c r="M18" s="7"/>
      <c r="N18" s="7"/>
      <c r="O18" s="7"/>
      <c r="P18" s="7"/>
      <c r="Q18" s="7"/>
      <c r="R18" s="7"/>
      <c r="S18" s="7"/>
      <c r="T18" s="7"/>
      <c r="U18" s="17"/>
    </row>
    <row r="19" spans="1:21">
      <c r="A19" t="s">
        <v>13</v>
      </c>
      <c r="B19" s="10">
        <v>13014.761911589283</v>
      </c>
      <c r="C19" s="7">
        <v>629387.51682084217</v>
      </c>
      <c r="D19" s="7">
        <v>0</v>
      </c>
      <c r="E19" s="7">
        <v>0</v>
      </c>
      <c r="F19" s="17">
        <f t="shared" si="0"/>
        <v>642402.27873243147</v>
      </c>
      <c r="H19" s="4" t="s">
        <v>72</v>
      </c>
      <c r="I19" s="14">
        <v>0</v>
      </c>
      <c r="K19" s="10">
        <v>80000</v>
      </c>
      <c r="L19" s="7">
        <v>0</v>
      </c>
      <c r="M19" s="7"/>
      <c r="N19" s="7">
        <v>895000</v>
      </c>
      <c r="O19" s="7">
        <v>0</v>
      </c>
      <c r="P19" s="7"/>
      <c r="Q19" s="7">
        <v>5000</v>
      </c>
      <c r="R19" s="7">
        <v>0</v>
      </c>
      <c r="S19" s="7"/>
      <c r="T19" s="7">
        <v>35000</v>
      </c>
      <c r="U19" s="17">
        <v>0</v>
      </c>
    </row>
    <row r="20" spans="1:21">
      <c r="A20" t="s">
        <v>14</v>
      </c>
      <c r="B20" s="10">
        <v>6747.6540947625817</v>
      </c>
      <c r="C20" s="7">
        <v>1120338.4833365192</v>
      </c>
      <c r="D20" s="7">
        <v>0</v>
      </c>
      <c r="E20" s="7">
        <v>0</v>
      </c>
      <c r="F20" s="17">
        <f t="shared" si="0"/>
        <v>1127086.1374312819</v>
      </c>
      <c r="H20" s="4" t="s">
        <v>73</v>
      </c>
      <c r="I20" s="14">
        <v>11499999</v>
      </c>
      <c r="K20" s="10"/>
      <c r="L20" s="7"/>
      <c r="M20" s="7"/>
      <c r="N20" s="7"/>
      <c r="O20" s="7"/>
      <c r="P20" s="7"/>
      <c r="Q20" s="7"/>
      <c r="R20" s="7"/>
      <c r="S20" s="7"/>
      <c r="T20" s="7"/>
      <c r="U20" s="17"/>
    </row>
    <row r="21" spans="1:21">
      <c r="A21" t="s">
        <v>15</v>
      </c>
      <c r="B21" s="10">
        <v>1898.462657284442</v>
      </c>
      <c r="C21" s="7">
        <v>61113.893643283911</v>
      </c>
      <c r="D21" s="7">
        <v>0</v>
      </c>
      <c r="E21" s="7">
        <v>0</v>
      </c>
      <c r="F21" s="17">
        <f t="shared" si="0"/>
        <v>63012.356300568354</v>
      </c>
      <c r="H21" s="4" t="s">
        <v>74</v>
      </c>
      <c r="I21" s="14"/>
      <c r="K21" s="10"/>
      <c r="L21" s="7"/>
      <c r="M21" s="7"/>
      <c r="N21" s="7"/>
      <c r="O21" s="7"/>
      <c r="P21" s="7"/>
      <c r="Q21" s="7"/>
      <c r="R21" s="7"/>
      <c r="S21" s="7"/>
      <c r="T21" s="7"/>
      <c r="U21" s="17"/>
    </row>
    <row r="22" spans="1:21">
      <c r="A22" t="s">
        <v>16</v>
      </c>
      <c r="B22" s="10">
        <v>2004.6736510992221</v>
      </c>
      <c r="C22" s="7">
        <v>15510.102938704695</v>
      </c>
      <c r="D22" s="7">
        <v>0</v>
      </c>
      <c r="E22" s="7">
        <v>0</v>
      </c>
      <c r="F22" s="17">
        <f t="shared" si="0"/>
        <v>17514.776589803918</v>
      </c>
      <c r="H22" s="4" t="s">
        <v>75</v>
      </c>
      <c r="I22" s="14">
        <v>0</v>
      </c>
      <c r="K22" s="10"/>
      <c r="L22" s="7"/>
      <c r="M22" s="7"/>
      <c r="N22" s="7"/>
      <c r="O22" s="7"/>
      <c r="P22" s="7"/>
      <c r="Q22" s="7"/>
      <c r="R22" s="7"/>
      <c r="S22" s="7"/>
      <c r="T22" s="7"/>
      <c r="U22" s="17"/>
    </row>
    <row r="23" spans="1:21">
      <c r="A23" t="s">
        <v>17</v>
      </c>
      <c r="B23" s="10">
        <v>1479.7221004560731</v>
      </c>
      <c r="C23" s="7">
        <v>28876.040917640814</v>
      </c>
      <c r="D23" s="7">
        <v>0</v>
      </c>
      <c r="E23" s="7">
        <v>0</v>
      </c>
      <c r="F23" s="17">
        <f t="shared" si="0"/>
        <v>30355.763018096888</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1423.9268532005963</v>
      </c>
      <c r="C25" s="7">
        <v>15936.90949548249</v>
      </c>
      <c r="D25" s="7">
        <v>0</v>
      </c>
      <c r="E25" s="7">
        <v>0</v>
      </c>
      <c r="F25" s="17">
        <f t="shared" si="0"/>
        <v>17360.836348683086</v>
      </c>
      <c r="H25" s="4"/>
      <c r="I25" s="14"/>
      <c r="K25" s="10"/>
      <c r="L25" s="7"/>
      <c r="M25" s="7"/>
      <c r="N25" s="7"/>
      <c r="O25" s="7"/>
      <c r="P25" s="7"/>
      <c r="Q25" s="7"/>
      <c r="R25" s="7"/>
      <c r="S25" s="7"/>
      <c r="T25" s="7"/>
      <c r="U25" s="17"/>
    </row>
    <row r="26" spans="1:21">
      <c r="A26" t="s">
        <v>20</v>
      </c>
      <c r="B26" s="10">
        <v>12584.897422239728</v>
      </c>
      <c r="C26" s="7">
        <v>25549.616151963663</v>
      </c>
      <c r="D26" s="7">
        <v>0</v>
      </c>
      <c r="E26" s="7">
        <v>0</v>
      </c>
      <c r="F26" s="17">
        <f t="shared" si="0"/>
        <v>38134.513574203389</v>
      </c>
      <c r="H26" s="4" t="s">
        <v>78</v>
      </c>
      <c r="I26" s="14">
        <f>SUM(I10:I16)-SUM(I19:I24)</f>
        <v>14424221.700000003</v>
      </c>
      <c r="K26" s="10"/>
      <c r="L26" s="7"/>
      <c r="M26" s="7"/>
      <c r="N26" s="7"/>
      <c r="O26" s="7"/>
      <c r="P26" s="7"/>
      <c r="Q26" s="7"/>
      <c r="R26" s="7"/>
      <c r="S26" s="7"/>
      <c r="T26" s="7"/>
      <c r="U26" s="17"/>
    </row>
    <row r="27" spans="1:21">
      <c r="A27" t="s">
        <v>21</v>
      </c>
      <c r="B27" s="10">
        <v>10931.769826357742</v>
      </c>
      <c r="C27" s="7">
        <v>108016.17163151536</v>
      </c>
      <c r="D27" s="7">
        <v>0</v>
      </c>
      <c r="E27" s="7">
        <v>0</v>
      </c>
      <c r="F27" s="17">
        <f t="shared" si="0"/>
        <v>118947.94145787311</v>
      </c>
      <c r="H27" s="4" t="s">
        <v>79</v>
      </c>
      <c r="I27" s="14">
        <f>+F60</f>
        <v>14424221.699999997</v>
      </c>
      <c r="K27" s="10"/>
      <c r="L27" s="7"/>
      <c r="M27" s="7"/>
      <c r="N27" s="7"/>
      <c r="O27" s="7"/>
      <c r="P27" s="7"/>
      <c r="Q27" s="7"/>
      <c r="R27" s="7"/>
      <c r="S27" s="7"/>
      <c r="T27" s="7"/>
      <c r="U27" s="17"/>
    </row>
    <row r="28" spans="1:21">
      <c r="A28" t="s">
        <v>22</v>
      </c>
      <c r="B28" s="10">
        <v>9390.8126668580499</v>
      </c>
      <c r="C28" s="7">
        <v>123081.92932263673</v>
      </c>
      <c r="D28" s="7">
        <v>0</v>
      </c>
      <c r="E28" s="7">
        <v>0</v>
      </c>
      <c r="F28" s="17">
        <f t="shared" si="0"/>
        <v>132472.74198949477</v>
      </c>
      <c r="H28" s="23"/>
      <c r="I28" s="25"/>
      <c r="K28" s="10"/>
      <c r="L28" s="7"/>
      <c r="M28" s="7"/>
      <c r="N28" s="7"/>
      <c r="O28" s="7"/>
      <c r="P28" s="7"/>
      <c r="Q28" s="7"/>
      <c r="R28" s="7"/>
      <c r="S28" s="7"/>
      <c r="T28" s="7"/>
      <c r="U28" s="17"/>
    </row>
    <row r="29" spans="1:21">
      <c r="A29" t="s">
        <v>23</v>
      </c>
      <c r="B29" s="10">
        <v>8017.5700713564147</v>
      </c>
      <c r="C29" s="7">
        <v>1058543.5722197189</v>
      </c>
      <c r="D29" s="7">
        <v>0</v>
      </c>
      <c r="E29" s="7">
        <v>0</v>
      </c>
      <c r="F29" s="17">
        <f t="shared" si="0"/>
        <v>1066561.1422910753</v>
      </c>
      <c r="K29" s="10">
        <v>286000</v>
      </c>
      <c r="L29" s="7">
        <v>0</v>
      </c>
      <c r="M29" s="7"/>
      <c r="N29" s="7">
        <v>814000</v>
      </c>
      <c r="O29" s="7">
        <v>0</v>
      </c>
      <c r="P29" s="7"/>
      <c r="Q29" s="7">
        <v>0</v>
      </c>
      <c r="R29" s="7">
        <v>0</v>
      </c>
      <c r="S29" s="7"/>
      <c r="T29" s="7">
        <v>0</v>
      </c>
      <c r="U29" s="17">
        <v>0</v>
      </c>
    </row>
    <row r="30" spans="1:21">
      <c r="A30" t="s">
        <v>24</v>
      </c>
      <c r="B30" s="10">
        <v>1539.0749300681139</v>
      </c>
      <c r="C30" s="7">
        <v>9407.8034092724374</v>
      </c>
      <c r="D30" s="7">
        <v>0</v>
      </c>
      <c r="E30" s="7">
        <v>0</v>
      </c>
      <c r="F30" s="17">
        <f t="shared" si="0"/>
        <v>10946.878339340552</v>
      </c>
      <c r="K30" s="10"/>
      <c r="L30" s="7"/>
      <c r="M30" s="7"/>
      <c r="N30" s="7"/>
      <c r="O30" s="7"/>
      <c r="P30" s="7"/>
      <c r="Q30" s="7"/>
      <c r="R30" s="7"/>
      <c r="S30" s="7"/>
      <c r="T30" s="7"/>
      <c r="U30" s="17"/>
    </row>
    <row r="31" spans="1:21">
      <c r="A31" t="s">
        <v>25</v>
      </c>
      <c r="B31" s="10">
        <v>3492.9790848947855</v>
      </c>
      <c r="C31" s="7">
        <v>78002.3311432997</v>
      </c>
      <c r="D31" s="7">
        <v>0</v>
      </c>
      <c r="E31" s="7">
        <v>0</v>
      </c>
      <c r="F31" s="17">
        <f t="shared" si="0"/>
        <v>81495.310228194488</v>
      </c>
      <c r="K31" s="10"/>
      <c r="L31" s="7"/>
      <c r="M31" s="7"/>
      <c r="N31" s="7"/>
      <c r="O31" s="7"/>
      <c r="P31" s="7"/>
      <c r="Q31" s="7"/>
      <c r="R31" s="7"/>
      <c r="S31" s="7"/>
      <c r="T31" s="7"/>
      <c r="U31" s="17"/>
    </row>
    <row r="32" spans="1:21">
      <c r="A32" t="s">
        <v>26</v>
      </c>
      <c r="B32" s="10">
        <v>558.37868049176814</v>
      </c>
      <c r="C32" s="7">
        <v>27715.507541663581</v>
      </c>
      <c r="D32" s="7">
        <v>0</v>
      </c>
      <c r="E32" s="7">
        <v>0</v>
      </c>
      <c r="F32" s="17">
        <f t="shared" si="0"/>
        <v>28273.88622215535</v>
      </c>
      <c r="K32" s="10"/>
      <c r="L32" s="7"/>
      <c r="M32" s="7"/>
      <c r="N32" s="7"/>
      <c r="O32" s="7"/>
      <c r="P32" s="7"/>
      <c r="Q32" s="7"/>
      <c r="R32" s="7"/>
      <c r="S32" s="7"/>
      <c r="T32" s="7"/>
      <c r="U32" s="17"/>
    </row>
    <row r="33" spans="1:21">
      <c r="A33" t="s">
        <v>27</v>
      </c>
      <c r="B33" s="10">
        <v>798.17640508084378</v>
      </c>
      <c r="C33" s="7">
        <v>397453.5384487625</v>
      </c>
      <c r="D33" s="7">
        <v>0</v>
      </c>
      <c r="E33" s="7">
        <v>0</v>
      </c>
      <c r="F33" s="17">
        <f t="shared" si="0"/>
        <v>398251.71485384332</v>
      </c>
      <c r="K33" s="10"/>
      <c r="L33" s="7"/>
      <c r="M33" s="7"/>
      <c r="N33" s="7"/>
      <c r="O33" s="7"/>
      <c r="P33" s="7"/>
      <c r="Q33" s="7"/>
      <c r="R33" s="7"/>
      <c r="S33" s="7"/>
      <c r="T33" s="7"/>
      <c r="U33" s="17"/>
    </row>
    <row r="34" spans="1:21">
      <c r="A34" t="s">
        <v>28</v>
      </c>
      <c r="B34" s="10">
        <v>537.58820608592691</v>
      </c>
      <c r="C34" s="7">
        <v>87750.156303978161</v>
      </c>
      <c r="D34" s="7">
        <v>0</v>
      </c>
      <c r="E34" s="7">
        <v>0</v>
      </c>
      <c r="F34" s="17">
        <f t="shared" si="0"/>
        <v>88287.744510064091</v>
      </c>
      <c r="K34" s="10"/>
      <c r="L34" s="7"/>
      <c r="M34" s="7"/>
      <c r="N34" s="7"/>
      <c r="O34" s="7"/>
      <c r="P34" s="7"/>
      <c r="Q34" s="7"/>
      <c r="R34" s="7"/>
      <c r="S34" s="7"/>
      <c r="T34" s="7"/>
      <c r="U34" s="17"/>
    </row>
    <row r="35" spans="1:21">
      <c r="A35" t="s">
        <v>29</v>
      </c>
      <c r="B35" s="10">
        <v>3856.9412661174752</v>
      </c>
      <c r="C35" s="7">
        <v>258957.84626778855</v>
      </c>
      <c r="D35" s="7">
        <v>0</v>
      </c>
      <c r="E35" s="7">
        <v>0</v>
      </c>
      <c r="F35" s="17">
        <f t="shared" si="0"/>
        <v>262814.78753390606</v>
      </c>
      <c r="K35" s="10"/>
      <c r="L35" s="7"/>
      <c r="M35" s="7"/>
      <c r="N35" s="7"/>
      <c r="O35" s="7"/>
      <c r="P35" s="7"/>
      <c r="Q35" s="7"/>
      <c r="R35" s="7"/>
      <c r="S35" s="7"/>
      <c r="T35" s="7"/>
      <c r="U35" s="17"/>
    </row>
    <row r="36" spans="1:21">
      <c r="A36" t="s">
        <v>30</v>
      </c>
      <c r="B36" s="10">
        <v>12845.920890756383</v>
      </c>
      <c r="C36" s="7">
        <v>144909.14191388479</v>
      </c>
      <c r="D36" s="7">
        <v>0</v>
      </c>
      <c r="E36" s="7">
        <v>0</v>
      </c>
      <c r="F36" s="17">
        <f t="shared" si="0"/>
        <v>157755.06280464117</v>
      </c>
      <c r="K36" s="10"/>
      <c r="L36" s="7"/>
      <c r="M36" s="7"/>
      <c r="N36" s="7"/>
      <c r="O36" s="7"/>
      <c r="P36" s="7"/>
      <c r="Q36" s="7"/>
      <c r="R36" s="7"/>
      <c r="S36" s="7"/>
      <c r="T36" s="7"/>
      <c r="U36" s="17"/>
    </row>
    <row r="37" spans="1:21">
      <c r="A37" t="s">
        <v>31</v>
      </c>
      <c r="B37" s="10">
        <v>632.42397280675777</v>
      </c>
      <c r="C37" s="7">
        <v>271468.39606176608</v>
      </c>
      <c r="D37" s="7">
        <v>0</v>
      </c>
      <c r="E37" s="7">
        <v>0</v>
      </c>
      <c r="F37" s="17">
        <f t="shared" si="0"/>
        <v>272100.82003457285</v>
      </c>
      <c r="K37" s="10">
        <v>49965</v>
      </c>
      <c r="L37" s="7">
        <v>0</v>
      </c>
      <c r="M37" s="7"/>
      <c r="N37" s="7">
        <v>349994</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8648.5536991347344</v>
      </c>
      <c r="C39" s="7">
        <v>119119.09837780097</v>
      </c>
      <c r="D39" s="7">
        <v>0</v>
      </c>
      <c r="E39" s="7">
        <v>0</v>
      </c>
      <c r="F39" s="17">
        <f t="shared" si="1"/>
        <v>127767.6520769357</v>
      </c>
      <c r="K39" s="10">
        <v>12800</v>
      </c>
      <c r="L39" s="7">
        <v>0</v>
      </c>
      <c r="M39" s="7"/>
      <c r="N39" s="7">
        <v>147200</v>
      </c>
      <c r="O39" s="7">
        <v>0</v>
      </c>
      <c r="P39" s="7"/>
      <c r="Q39" s="7">
        <v>0</v>
      </c>
      <c r="R39" s="7">
        <v>0</v>
      </c>
      <c r="S39" s="7"/>
      <c r="T39" s="7">
        <v>0</v>
      </c>
      <c r="U39" s="17">
        <v>0</v>
      </c>
    </row>
    <row r="40" spans="1:21">
      <c r="A40" t="s">
        <v>34</v>
      </c>
      <c r="B40" s="10">
        <v>549.01174168772832</v>
      </c>
      <c r="C40" s="7">
        <v>20028.780945385242</v>
      </c>
      <c r="D40" s="7">
        <v>0</v>
      </c>
      <c r="E40" s="7">
        <v>0</v>
      </c>
      <c r="F40" s="17">
        <f t="shared" si="1"/>
        <v>20577.792687072972</v>
      </c>
      <c r="K40" s="10"/>
      <c r="L40" s="7"/>
      <c r="M40" s="7"/>
      <c r="N40" s="7"/>
      <c r="O40" s="7"/>
      <c r="P40" s="7"/>
      <c r="Q40" s="7"/>
      <c r="R40" s="7"/>
      <c r="S40" s="7"/>
      <c r="T40" s="7"/>
      <c r="U40" s="17"/>
    </row>
    <row r="41" spans="1:21">
      <c r="A41" t="s">
        <v>35</v>
      </c>
      <c r="B41" s="10">
        <v>14187.620757183586</v>
      </c>
      <c r="C41" s="7">
        <v>200140.57856811577</v>
      </c>
      <c r="D41" s="7">
        <v>0</v>
      </c>
      <c r="E41" s="7">
        <v>0</v>
      </c>
      <c r="F41" s="17">
        <f t="shared" si="1"/>
        <v>214328.19932529936</v>
      </c>
      <c r="K41" s="10"/>
      <c r="L41" s="7"/>
      <c r="M41" s="7"/>
      <c r="N41" s="7"/>
      <c r="O41" s="7"/>
      <c r="P41" s="7"/>
      <c r="Q41" s="7"/>
      <c r="R41" s="7"/>
      <c r="S41" s="7"/>
      <c r="T41" s="7"/>
      <c r="U41" s="17"/>
    </row>
    <row r="42" spans="1:21">
      <c r="A42" t="s">
        <v>36</v>
      </c>
      <c r="B42" s="10">
        <v>1016.43088728747</v>
      </c>
      <c r="C42" s="7">
        <v>28057.312513059966</v>
      </c>
      <c r="D42" s="7">
        <v>0</v>
      </c>
      <c r="E42" s="7">
        <v>0</v>
      </c>
      <c r="F42" s="17">
        <f t="shared" si="1"/>
        <v>29073.743400347437</v>
      </c>
      <c r="K42" s="10">
        <v>5500</v>
      </c>
      <c r="L42" s="7">
        <v>0</v>
      </c>
      <c r="M42" s="7"/>
      <c r="N42" s="7">
        <v>44500</v>
      </c>
      <c r="O42" s="7">
        <v>0</v>
      </c>
      <c r="P42" s="7"/>
      <c r="Q42" s="7">
        <v>0</v>
      </c>
      <c r="R42" s="7">
        <v>0</v>
      </c>
      <c r="S42" s="7"/>
      <c r="T42" s="7">
        <v>0</v>
      </c>
      <c r="U42" s="17">
        <v>0</v>
      </c>
    </row>
    <row r="43" spans="1:21">
      <c r="A43" t="s">
        <v>37</v>
      </c>
      <c r="B43" s="10">
        <v>2939.2345216559052</v>
      </c>
      <c r="C43" s="7">
        <v>56922.3997055332</v>
      </c>
      <c r="D43" s="7">
        <v>0</v>
      </c>
      <c r="E43" s="7">
        <v>0</v>
      </c>
      <c r="F43" s="17">
        <f t="shared" si="1"/>
        <v>59861.634227189104</v>
      </c>
      <c r="K43" s="10"/>
      <c r="L43" s="7"/>
      <c r="M43" s="7"/>
      <c r="N43" s="7"/>
      <c r="O43" s="7"/>
      <c r="P43" s="7"/>
      <c r="Q43" s="7"/>
      <c r="R43" s="7"/>
      <c r="S43" s="7"/>
      <c r="T43" s="7"/>
      <c r="U43" s="17"/>
    </row>
    <row r="44" spans="1:21">
      <c r="A44" t="s">
        <v>38</v>
      </c>
      <c r="B44" s="10">
        <v>13682.742334034721</v>
      </c>
      <c r="C44" s="7">
        <v>3791537.2588466741</v>
      </c>
      <c r="D44" s="7">
        <v>0</v>
      </c>
      <c r="E44" s="7">
        <v>0</v>
      </c>
      <c r="F44" s="17">
        <f t="shared" si="1"/>
        <v>3805220.0011807089</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965.21538937751836</v>
      </c>
      <c r="C46" s="7">
        <v>209716.61432651643</v>
      </c>
      <c r="D46" s="7">
        <v>0</v>
      </c>
      <c r="E46" s="7">
        <v>0</v>
      </c>
      <c r="F46" s="17">
        <f t="shared" si="1"/>
        <v>210681.82971589395</v>
      </c>
      <c r="K46" s="10"/>
      <c r="L46" s="7"/>
      <c r="M46" s="7"/>
      <c r="N46" s="7"/>
      <c r="O46" s="7"/>
      <c r="P46" s="7"/>
      <c r="Q46" s="7"/>
      <c r="R46" s="7"/>
      <c r="S46" s="7"/>
      <c r="T46" s="7"/>
      <c r="U46" s="17"/>
    </row>
    <row r="47" spans="1:21">
      <c r="A47" t="s">
        <v>41</v>
      </c>
      <c r="B47" s="10">
        <v>3882.6523475204813</v>
      </c>
      <c r="C47" s="7">
        <v>666961.8675533433</v>
      </c>
      <c r="D47" s="7">
        <v>0</v>
      </c>
      <c r="E47" s="7">
        <v>0</v>
      </c>
      <c r="F47" s="17">
        <f t="shared" si="1"/>
        <v>670844.51990086376</v>
      </c>
      <c r="K47" s="10"/>
      <c r="L47" s="7"/>
      <c r="M47" s="7"/>
      <c r="N47" s="7"/>
      <c r="O47" s="7"/>
      <c r="P47" s="7"/>
      <c r="Q47" s="7"/>
      <c r="R47" s="7"/>
      <c r="S47" s="7"/>
      <c r="T47" s="7"/>
      <c r="U47" s="17"/>
    </row>
    <row r="48" spans="1:21">
      <c r="A48" t="s">
        <v>42</v>
      </c>
      <c r="B48" s="10">
        <v>135.92188693143692</v>
      </c>
      <c r="C48" s="7">
        <v>9167.9953690239163</v>
      </c>
      <c r="D48" s="7">
        <v>0</v>
      </c>
      <c r="E48" s="7">
        <v>0</v>
      </c>
      <c r="F48" s="17">
        <f t="shared" si="1"/>
        <v>9303.9172559553535</v>
      </c>
      <c r="K48" s="10"/>
      <c r="L48" s="7"/>
      <c r="M48" s="7"/>
      <c r="N48" s="7"/>
      <c r="O48" s="7"/>
      <c r="P48" s="7"/>
      <c r="Q48" s="7"/>
      <c r="R48" s="7"/>
      <c r="S48" s="7"/>
      <c r="T48" s="7"/>
      <c r="U48" s="17"/>
    </row>
    <row r="49" spans="1:21">
      <c r="A49" t="s">
        <v>43</v>
      </c>
      <c r="B49" s="10">
        <v>5301.0076655736175</v>
      </c>
      <c r="C49" s="7">
        <v>55521.375140640601</v>
      </c>
      <c r="D49" s="7">
        <v>0</v>
      </c>
      <c r="E49" s="7">
        <v>0</v>
      </c>
      <c r="F49" s="17">
        <f t="shared" si="1"/>
        <v>60822.38280621422</v>
      </c>
      <c r="K49" s="10"/>
      <c r="L49" s="7"/>
      <c r="M49" s="7"/>
      <c r="N49" s="7"/>
      <c r="O49" s="7"/>
      <c r="P49" s="7"/>
      <c r="Q49" s="7"/>
      <c r="R49" s="7"/>
      <c r="S49" s="7"/>
      <c r="T49" s="7"/>
      <c r="U49" s="17"/>
    </row>
    <row r="50" spans="1:21">
      <c r="A50" t="s">
        <v>44</v>
      </c>
      <c r="B50" s="10">
        <v>10053.110658507987</v>
      </c>
      <c r="C50" s="7">
        <v>129728.10635848093</v>
      </c>
      <c r="D50" s="7">
        <v>0</v>
      </c>
      <c r="E50" s="7">
        <v>0</v>
      </c>
      <c r="F50" s="17">
        <f t="shared" si="1"/>
        <v>139781.21701698893</v>
      </c>
      <c r="K50" s="10"/>
      <c r="L50" s="7"/>
      <c r="M50" s="7"/>
      <c r="N50" s="7"/>
      <c r="O50" s="7"/>
      <c r="P50" s="7"/>
      <c r="Q50" s="7"/>
      <c r="R50" s="7"/>
      <c r="S50" s="7"/>
      <c r="T50" s="7"/>
      <c r="U50" s="17"/>
    </row>
    <row r="51" spans="1:21">
      <c r="A51" t="s">
        <v>45</v>
      </c>
      <c r="B51" s="10">
        <v>481.12938724836044</v>
      </c>
      <c r="C51" s="7">
        <v>35606.546078031752</v>
      </c>
      <c r="D51" s="7">
        <v>0</v>
      </c>
      <c r="E51" s="7">
        <v>0</v>
      </c>
      <c r="F51" s="17">
        <f t="shared" si="1"/>
        <v>36087.67546528011</v>
      </c>
      <c r="K51" s="10">
        <v>0</v>
      </c>
      <c r="L51" s="7">
        <v>0</v>
      </c>
      <c r="M51" s="7"/>
      <c r="N51" s="7">
        <v>0</v>
      </c>
      <c r="O51" s="7">
        <v>0</v>
      </c>
      <c r="P51" s="7"/>
      <c r="Q51" s="7">
        <v>325000</v>
      </c>
      <c r="R51" s="7">
        <v>0</v>
      </c>
      <c r="S51" s="7"/>
      <c r="T51" s="7">
        <v>0</v>
      </c>
      <c r="U51" s="17">
        <v>0</v>
      </c>
    </row>
    <row r="52" spans="1:21">
      <c r="A52" t="s">
        <v>46</v>
      </c>
      <c r="B52" s="10">
        <v>2333.2983320669055</v>
      </c>
      <c r="C52" s="7">
        <v>26051.591397813474</v>
      </c>
      <c r="D52" s="7">
        <v>0</v>
      </c>
      <c r="E52" s="7">
        <v>0</v>
      </c>
      <c r="F52" s="17">
        <f t="shared" si="1"/>
        <v>28384.889729880379</v>
      </c>
      <c r="K52" s="10"/>
      <c r="L52" s="7"/>
      <c r="M52" s="7"/>
      <c r="N52" s="7"/>
      <c r="O52" s="7"/>
      <c r="P52" s="7"/>
      <c r="Q52" s="7"/>
      <c r="R52" s="7"/>
      <c r="S52" s="7"/>
      <c r="T52" s="7"/>
      <c r="U52" s="17"/>
    </row>
    <row r="53" spans="1:21">
      <c r="A53" t="s">
        <v>47</v>
      </c>
      <c r="B53" s="10">
        <v>37649.793859818288</v>
      </c>
      <c r="C53" s="7">
        <v>2300376.398373499</v>
      </c>
      <c r="D53" s="7">
        <v>0</v>
      </c>
      <c r="E53" s="7">
        <v>0</v>
      </c>
      <c r="F53" s="17">
        <f t="shared" si="1"/>
        <v>2338026.1922333175</v>
      </c>
      <c r="K53" s="10"/>
      <c r="L53" s="7"/>
      <c r="M53" s="7"/>
      <c r="N53" s="7"/>
      <c r="O53" s="7"/>
      <c r="P53" s="7"/>
      <c r="Q53" s="7"/>
      <c r="R53" s="7"/>
      <c r="S53" s="7"/>
      <c r="T53" s="7"/>
      <c r="U53" s="17"/>
    </row>
    <row r="54" spans="1:21">
      <c r="A54" t="s">
        <v>48</v>
      </c>
      <c r="B54" s="10">
        <v>2533.042870263168</v>
      </c>
      <c r="C54" s="7">
        <v>39206.424720853902</v>
      </c>
      <c r="D54" s="7">
        <v>0</v>
      </c>
      <c r="E54" s="7">
        <v>0</v>
      </c>
      <c r="F54" s="17">
        <f t="shared" si="1"/>
        <v>41739.467591117071</v>
      </c>
      <c r="K54" s="10"/>
      <c r="L54" s="7"/>
      <c r="M54" s="7"/>
      <c r="N54" s="7"/>
      <c r="O54" s="7"/>
      <c r="P54" s="7"/>
      <c r="Q54" s="7"/>
      <c r="R54" s="7"/>
      <c r="S54" s="7"/>
      <c r="T54" s="7"/>
      <c r="U54" s="17"/>
    </row>
    <row r="55" spans="1:21">
      <c r="A55" t="s">
        <v>49</v>
      </c>
      <c r="B55" s="10">
        <v>924.49454499209492</v>
      </c>
      <c r="C55" s="7">
        <v>47334.321560928714</v>
      </c>
      <c r="D55" s="7">
        <v>0</v>
      </c>
      <c r="E55" s="7">
        <v>0</v>
      </c>
      <c r="F55" s="17">
        <f t="shared" si="1"/>
        <v>48258.816105920807</v>
      </c>
      <c r="K55" s="10">
        <v>0</v>
      </c>
      <c r="L55" s="7">
        <v>0</v>
      </c>
      <c r="M55" s="7"/>
      <c r="N55" s="7">
        <v>75000</v>
      </c>
      <c r="O55" s="7">
        <v>0</v>
      </c>
      <c r="P55" s="7"/>
      <c r="Q55" s="7">
        <v>0</v>
      </c>
      <c r="R55" s="7">
        <v>0</v>
      </c>
      <c r="S55" s="7"/>
      <c r="T55" s="7">
        <v>0</v>
      </c>
      <c r="U55" s="17">
        <v>0</v>
      </c>
    </row>
    <row r="56" spans="1:21">
      <c r="A56" t="s">
        <v>50</v>
      </c>
      <c r="B56" s="10">
        <v>7207.7009585802898</v>
      </c>
      <c r="C56" s="7">
        <v>589084.32454438461</v>
      </c>
      <c r="D56" s="7">
        <v>0</v>
      </c>
      <c r="E56" s="7">
        <v>0</v>
      </c>
      <c r="F56" s="17">
        <f t="shared" si="1"/>
        <v>596292.02550296485</v>
      </c>
      <c r="K56" s="10"/>
      <c r="L56" s="7"/>
      <c r="M56" s="7"/>
      <c r="N56" s="7"/>
      <c r="O56" s="7"/>
      <c r="P56" s="7"/>
      <c r="Q56" s="7"/>
      <c r="R56" s="7"/>
      <c r="S56" s="7"/>
      <c r="T56" s="7"/>
      <c r="U56" s="17"/>
    </row>
    <row r="57" spans="1:21">
      <c r="A57" t="s">
        <v>51</v>
      </c>
      <c r="B57" s="10">
        <v>89.561519803195935</v>
      </c>
      <c r="C57" s="7">
        <v>13262.325059502338</v>
      </c>
      <c r="D57" s="7">
        <v>0</v>
      </c>
      <c r="E57" s="7">
        <v>0</v>
      </c>
      <c r="F57" s="17">
        <f t="shared" si="1"/>
        <v>13351.886579305534</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274417.48801646056</v>
      </c>
      <c r="C60" s="7">
        <f>SUM(C6:C58)</f>
        <v>14149804.211983541</v>
      </c>
      <c r="D60" s="7">
        <f>SUM(D6:D58)</f>
        <v>0</v>
      </c>
      <c r="E60" s="7">
        <f>SUM(E6:E58)</f>
        <v>0</v>
      </c>
      <c r="F60" s="17">
        <f>SUM(F6:F58)</f>
        <v>14424221.699999997</v>
      </c>
      <c r="K60" s="10">
        <f>SUM(K6:K58)</f>
        <v>889508</v>
      </c>
      <c r="L60" s="7">
        <f>SUM(L6:L58)</f>
        <v>30</v>
      </c>
      <c r="M60" s="7"/>
      <c r="N60" s="7">
        <f>SUM(N6:N58)</f>
        <v>2648350</v>
      </c>
      <c r="O60" s="7">
        <f>SUM(O6:O58)</f>
        <v>20</v>
      </c>
      <c r="P60" s="7"/>
      <c r="Q60" s="7">
        <f>SUM(Q6:Q58)</f>
        <v>330078</v>
      </c>
      <c r="R60" s="7">
        <f>SUM(R6:R58)</f>
        <v>0</v>
      </c>
      <c r="S60" s="7"/>
      <c r="T60" s="7">
        <f>SUM(T6:T58)</f>
        <v>35000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Italic"Fidelity Bankers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21136.268075654214</v>
      </c>
      <c r="C6" s="7">
        <v>38.403853250208478</v>
      </c>
      <c r="D6" s="7">
        <v>0</v>
      </c>
      <c r="E6" s="7">
        <v>0</v>
      </c>
      <c r="F6" s="17">
        <f t="shared" ref="F6:F37" si="0">SUM(B6:E6)</f>
        <v>21174.671928904423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12056.788665131242</v>
      </c>
      <c r="C8" s="7">
        <v>62.658918460866467</v>
      </c>
      <c r="D8" s="7">
        <v>0</v>
      </c>
      <c r="E8" s="7">
        <v>0</v>
      </c>
      <c r="F8" s="17">
        <f t="shared" si="0"/>
        <v>12119.447583592108</v>
      </c>
      <c r="H8" s="4" t="s">
        <v>64</v>
      </c>
      <c r="I8" s="13"/>
      <c r="K8" s="10"/>
      <c r="L8" s="7"/>
      <c r="M8" s="7"/>
      <c r="N8" s="7"/>
      <c r="O8" s="7"/>
      <c r="P8" s="7"/>
      <c r="Q8" s="7"/>
      <c r="R8" s="7"/>
      <c r="S8" s="7"/>
      <c r="T8" s="7"/>
      <c r="U8" s="17"/>
    </row>
    <row r="9" spans="1:21">
      <c r="A9" t="s">
        <v>3</v>
      </c>
      <c r="B9" s="10">
        <v>4646.8662432752262</v>
      </c>
      <c r="C9" s="7">
        <v>38.403853250208478</v>
      </c>
      <c r="D9" s="7">
        <v>0</v>
      </c>
      <c r="E9" s="7">
        <v>0</v>
      </c>
      <c r="F9" s="17">
        <f t="shared" si="0"/>
        <v>4685.2700965254344</v>
      </c>
      <c r="H9" s="4"/>
      <c r="I9" s="13"/>
      <c r="K9" s="10">
        <v>4523</v>
      </c>
      <c r="L9" s="7">
        <v>0</v>
      </c>
      <c r="M9" s="7"/>
      <c r="N9" s="7">
        <v>0</v>
      </c>
      <c r="O9" s="7">
        <v>0</v>
      </c>
      <c r="P9" s="7"/>
      <c r="Q9" s="7">
        <v>0</v>
      </c>
      <c r="R9" s="7">
        <v>0</v>
      </c>
      <c r="S9" s="7"/>
      <c r="T9" s="7">
        <v>0</v>
      </c>
      <c r="U9" s="17">
        <v>0</v>
      </c>
    </row>
    <row r="10" spans="1:21">
      <c r="A10" t="s">
        <v>4</v>
      </c>
      <c r="B10" s="10">
        <v>92842.325860096113</v>
      </c>
      <c r="C10" s="7">
        <v>3205.7111186752973</v>
      </c>
      <c r="D10" s="7">
        <v>0</v>
      </c>
      <c r="E10" s="7">
        <v>0</v>
      </c>
      <c r="F10" s="17">
        <f t="shared" si="0"/>
        <v>96048.036978771415</v>
      </c>
      <c r="H10" s="4" t="s">
        <v>65</v>
      </c>
      <c r="I10" s="14">
        <v>629575000</v>
      </c>
      <c r="K10" s="10"/>
      <c r="L10" s="7"/>
      <c r="M10" s="7"/>
      <c r="N10" s="7"/>
      <c r="O10" s="7"/>
      <c r="P10" s="7"/>
      <c r="Q10" s="7"/>
      <c r="R10" s="7"/>
      <c r="S10" s="7"/>
      <c r="T10" s="7"/>
      <c r="U10" s="17"/>
    </row>
    <row r="11" spans="1:21">
      <c r="A11" t="s">
        <v>5</v>
      </c>
      <c r="B11" s="10">
        <v>18134.703755835289</v>
      </c>
      <c r="C11" s="7">
        <v>2835.8213742127632</v>
      </c>
      <c r="D11" s="7">
        <v>0</v>
      </c>
      <c r="E11" s="7">
        <v>0</v>
      </c>
      <c r="F11" s="17">
        <f t="shared" si="0"/>
        <v>20970.525130048052</v>
      </c>
      <c r="H11" s="4"/>
      <c r="I11" s="14"/>
      <c r="K11" s="10"/>
      <c r="L11" s="7"/>
      <c r="M11" s="7"/>
      <c r="N11" s="7"/>
      <c r="O11" s="7"/>
      <c r="P11" s="7"/>
      <c r="Q11" s="7"/>
      <c r="R11" s="7"/>
      <c r="S11" s="7"/>
      <c r="T11" s="7"/>
      <c r="U11" s="17"/>
    </row>
    <row r="12" spans="1:21">
      <c r="A12" t="s">
        <v>6</v>
      </c>
      <c r="B12" s="10">
        <v>12481.252306317756</v>
      </c>
      <c r="C12" s="7">
        <v>121.27532605328994</v>
      </c>
      <c r="D12" s="7">
        <v>0</v>
      </c>
      <c r="E12" s="7">
        <v>0</v>
      </c>
      <c r="F12" s="17">
        <f t="shared" si="0"/>
        <v>12602.527632371046</v>
      </c>
      <c r="H12" s="4" t="s">
        <v>66</v>
      </c>
      <c r="I12" s="14"/>
      <c r="K12" s="10"/>
      <c r="L12" s="7"/>
      <c r="M12" s="7"/>
      <c r="N12" s="7"/>
      <c r="O12" s="7"/>
      <c r="P12" s="7"/>
      <c r="Q12" s="7"/>
      <c r="R12" s="7"/>
      <c r="S12" s="7"/>
      <c r="T12" s="7"/>
      <c r="U12" s="17"/>
    </row>
    <row r="13" spans="1:21">
      <c r="A13" t="s">
        <v>7</v>
      </c>
      <c r="B13" s="10">
        <v>10344.785312345633</v>
      </c>
      <c r="C13" s="7">
        <v>757.9707878330621</v>
      </c>
      <c r="D13" s="7">
        <v>0</v>
      </c>
      <c r="E13" s="7">
        <v>0</v>
      </c>
      <c r="F13" s="17">
        <f t="shared" si="0"/>
        <v>11102.756100178696</v>
      </c>
      <c r="H13" s="4" t="s">
        <v>67</v>
      </c>
      <c r="I13" s="14">
        <v>0</v>
      </c>
      <c r="K13" s="10"/>
      <c r="L13" s="7"/>
      <c r="M13" s="7"/>
      <c r="N13" s="7"/>
      <c r="O13" s="7"/>
      <c r="P13" s="7"/>
      <c r="Q13" s="7"/>
      <c r="R13" s="7"/>
      <c r="S13" s="7"/>
      <c r="T13" s="7"/>
      <c r="U13" s="17"/>
    </row>
    <row r="14" spans="1:21">
      <c r="A14" t="s">
        <v>8</v>
      </c>
      <c r="B14" s="10">
        <v>5249.2003626732321</v>
      </c>
      <c r="C14" s="7">
        <v>489.14381508160267</v>
      </c>
      <c r="D14" s="7">
        <v>0</v>
      </c>
      <c r="E14" s="7">
        <v>0</v>
      </c>
      <c r="F14" s="17">
        <f t="shared" si="0"/>
        <v>5738.3441777548351</v>
      </c>
      <c r="H14" s="4" t="s">
        <v>68</v>
      </c>
      <c r="I14" s="14">
        <v>0</v>
      </c>
      <c r="K14" s="10">
        <v>2326</v>
      </c>
      <c r="L14" s="7">
        <v>0</v>
      </c>
      <c r="M14" s="7"/>
      <c r="N14" s="7">
        <v>3076</v>
      </c>
      <c r="O14" s="7">
        <v>0</v>
      </c>
      <c r="P14" s="7"/>
      <c r="Q14" s="7">
        <v>0</v>
      </c>
      <c r="R14" s="7">
        <v>0</v>
      </c>
      <c r="S14" s="7"/>
      <c r="T14" s="7">
        <v>0</v>
      </c>
      <c r="U14" s="17">
        <v>0</v>
      </c>
    </row>
    <row r="15" spans="1:21">
      <c r="A15" t="s">
        <v>9</v>
      </c>
      <c r="B15" s="10">
        <v>86503.668818377497</v>
      </c>
      <c r="C15" s="7">
        <v>7510.9851935670913</v>
      </c>
      <c r="D15" s="7">
        <v>0</v>
      </c>
      <c r="E15" s="7">
        <v>0</v>
      </c>
      <c r="F15" s="17">
        <f t="shared" si="0"/>
        <v>94014.654011944585</v>
      </c>
      <c r="H15" s="4" t="s">
        <v>69</v>
      </c>
      <c r="I15" s="14">
        <v>1272531.8900000004</v>
      </c>
      <c r="K15" s="10"/>
      <c r="L15" s="7"/>
      <c r="M15" s="7"/>
      <c r="N15" s="7"/>
      <c r="O15" s="7"/>
      <c r="P15" s="7"/>
      <c r="Q15" s="7"/>
      <c r="R15" s="7"/>
      <c r="S15" s="7"/>
      <c r="T15" s="7"/>
      <c r="U15" s="17"/>
    </row>
    <row r="16" spans="1:21">
      <c r="A16" t="s">
        <v>10</v>
      </c>
      <c r="B16" s="10">
        <v>17433.32812016043</v>
      </c>
      <c r="C16" s="7">
        <v>477.01628247627377</v>
      </c>
      <c r="D16" s="7">
        <v>0</v>
      </c>
      <c r="E16" s="7">
        <v>1190.5194507564629</v>
      </c>
      <c r="F16" s="17">
        <f t="shared" si="0"/>
        <v>19100.863853393166</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442.65494009450822</v>
      </c>
      <c r="C18" s="7">
        <v>0</v>
      </c>
      <c r="D18" s="7">
        <v>0</v>
      </c>
      <c r="E18" s="7">
        <v>0</v>
      </c>
      <c r="F18" s="17">
        <f t="shared" si="0"/>
        <v>442.65494009450822</v>
      </c>
      <c r="H18" s="4" t="s">
        <v>71</v>
      </c>
      <c r="I18" s="14"/>
      <c r="K18" s="10"/>
      <c r="L18" s="7"/>
      <c r="M18" s="7"/>
      <c r="N18" s="7"/>
      <c r="O18" s="7"/>
      <c r="P18" s="7"/>
      <c r="Q18" s="7"/>
      <c r="R18" s="7"/>
      <c r="S18" s="7"/>
      <c r="T18" s="7"/>
      <c r="U18" s="17"/>
    </row>
    <row r="19" spans="1:21">
      <c r="A19" t="s">
        <v>13</v>
      </c>
      <c r="B19" s="10">
        <v>75461.550381225446</v>
      </c>
      <c r="C19" s="7">
        <v>6502.3787318905624</v>
      </c>
      <c r="D19" s="7">
        <v>0</v>
      </c>
      <c r="E19" s="7">
        <v>359.7834672914268</v>
      </c>
      <c r="F19" s="17">
        <f t="shared" si="0"/>
        <v>82323.712580407446</v>
      </c>
      <c r="H19" s="4" t="s">
        <v>72</v>
      </c>
      <c r="I19" s="14">
        <v>0</v>
      </c>
      <c r="K19" s="10"/>
      <c r="L19" s="7"/>
      <c r="M19" s="7"/>
      <c r="N19" s="7"/>
      <c r="O19" s="7"/>
      <c r="P19" s="7"/>
      <c r="Q19" s="7"/>
      <c r="R19" s="7"/>
      <c r="S19" s="7"/>
      <c r="T19" s="7"/>
      <c r="U19" s="17"/>
    </row>
    <row r="20" spans="1:21">
      <c r="A20" t="s">
        <v>14</v>
      </c>
      <c r="B20" s="10">
        <v>9873.8327961720224</v>
      </c>
      <c r="C20" s="7">
        <v>1873.7037875233293</v>
      </c>
      <c r="D20" s="7">
        <v>0</v>
      </c>
      <c r="E20" s="7">
        <v>0</v>
      </c>
      <c r="F20" s="17">
        <f t="shared" si="0"/>
        <v>11747.536583695352</v>
      </c>
      <c r="H20" s="4" t="s">
        <v>73</v>
      </c>
      <c r="I20" s="14">
        <v>629575000</v>
      </c>
      <c r="K20" s="10"/>
      <c r="L20" s="7"/>
      <c r="M20" s="7"/>
      <c r="N20" s="7"/>
      <c r="O20" s="7"/>
      <c r="P20" s="7"/>
      <c r="Q20" s="7"/>
      <c r="R20" s="7"/>
      <c r="S20" s="7"/>
      <c r="T20" s="7"/>
      <c r="U20" s="17"/>
    </row>
    <row r="21" spans="1:21">
      <c r="A21" t="s">
        <v>15</v>
      </c>
      <c r="B21" s="10">
        <v>1412.8575485208278</v>
      </c>
      <c r="C21" s="7">
        <v>175.8492227772704</v>
      </c>
      <c r="D21" s="7">
        <v>0</v>
      </c>
      <c r="E21" s="7">
        <v>0</v>
      </c>
      <c r="F21" s="17">
        <f t="shared" si="0"/>
        <v>1588.7067712980981</v>
      </c>
      <c r="H21" s="4" t="s">
        <v>74</v>
      </c>
      <c r="I21" s="14"/>
      <c r="K21" s="10"/>
      <c r="L21" s="7"/>
      <c r="M21" s="7"/>
      <c r="N21" s="7"/>
      <c r="O21" s="7"/>
      <c r="P21" s="7"/>
      <c r="Q21" s="7"/>
      <c r="R21" s="7"/>
      <c r="S21" s="7"/>
      <c r="T21" s="7"/>
      <c r="U21" s="17"/>
    </row>
    <row r="22" spans="1:21">
      <c r="A22" t="s">
        <v>16</v>
      </c>
      <c r="B22" s="10">
        <v>4527.6121726561587</v>
      </c>
      <c r="C22" s="7">
        <v>10.106277171107497</v>
      </c>
      <c r="D22" s="7">
        <v>0</v>
      </c>
      <c r="E22" s="7">
        <v>0</v>
      </c>
      <c r="F22" s="17">
        <f t="shared" si="0"/>
        <v>4537.7184498272663</v>
      </c>
      <c r="H22" s="4" t="s">
        <v>75</v>
      </c>
      <c r="I22" s="14">
        <v>0</v>
      </c>
      <c r="K22" s="10"/>
      <c r="L22" s="7"/>
      <c r="M22" s="7"/>
      <c r="N22" s="7"/>
      <c r="O22" s="7"/>
      <c r="P22" s="7"/>
      <c r="Q22" s="7"/>
      <c r="R22" s="7"/>
      <c r="S22" s="7"/>
      <c r="T22" s="7"/>
      <c r="U22" s="17"/>
    </row>
    <row r="23" spans="1:21">
      <c r="A23" t="s">
        <v>17</v>
      </c>
      <c r="B23" s="10">
        <v>24447.084476909029</v>
      </c>
      <c r="C23" s="7">
        <v>3395.7091294921183</v>
      </c>
      <c r="D23" s="7">
        <v>0</v>
      </c>
      <c r="E23" s="7">
        <v>0</v>
      </c>
      <c r="F23" s="17">
        <f t="shared" si="0"/>
        <v>27842.793606401148</v>
      </c>
      <c r="H23" s="4" t="s">
        <v>76</v>
      </c>
      <c r="I23" s="14"/>
      <c r="K23" s="10"/>
      <c r="L23" s="7"/>
      <c r="M23" s="7"/>
      <c r="N23" s="7"/>
      <c r="O23" s="7"/>
      <c r="P23" s="7"/>
      <c r="Q23" s="7"/>
      <c r="R23" s="7"/>
      <c r="S23" s="7"/>
      <c r="T23" s="7"/>
      <c r="U23" s="17"/>
    </row>
    <row r="24" spans="1:21">
      <c r="A24" t="s">
        <v>18</v>
      </c>
      <c r="B24" s="10">
        <v>1942.4264722868606</v>
      </c>
      <c r="C24" s="7">
        <v>0</v>
      </c>
      <c r="D24" s="7">
        <v>0</v>
      </c>
      <c r="E24" s="7">
        <v>0</v>
      </c>
      <c r="F24" s="17">
        <f t="shared" si="0"/>
        <v>1942.4264722868606</v>
      </c>
      <c r="H24" s="4" t="s">
        <v>77</v>
      </c>
      <c r="I24" s="14">
        <v>0</v>
      </c>
      <c r="K24" s="10"/>
      <c r="L24" s="7"/>
      <c r="M24" s="7"/>
      <c r="N24" s="7"/>
      <c r="O24" s="7"/>
      <c r="P24" s="7"/>
      <c r="Q24" s="7"/>
      <c r="R24" s="7"/>
      <c r="S24" s="7"/>
      <c r="T24" s="7"/>
      <c r="U24" s="17"/>
    </row>
    <row r="25" spans="1:21">
      <c r="A25" t="s">
        <v>19</v>
      </c>
      <c r="B25" s="10">
        <v>6496.3149655878969</v>
      </c>
      <c r="C25" s="7">
        <v>5133.9888029226067</v>
      </c>
      <c r="D25" s="7">
        <v>0</v>
      </c>
      <c r="E25" s="7">
        <v>0</v>
      </c>
      <c r="F25" s="17">
        <f t="shared" si="0"/>
        <v>11630.303768510505</v>
      </c>
      <c r="H25" s="4"/>
      <c r="I25" s="14"/>
      <c r="K25" s="10"/>
      <c r="L25" s="7"/>
      <c r="M25" s="7"/>
      <c r="N25" s="7"/>
      <c r="O25" s="7"/>
      <c r="P25" s="7"/>
      <c r="Q25" s="7"/>
      <c r="R25" s="7"/>
      <c r="S25" s="7"/>
      <c r="T25" s="7"/>
      <c r="U25" s="17"/>
    </row>
    <row r="26" spans="1:21">
      <c r="A26" t="s">
        <v>20</v>
      </c>
      <c r="B26" s="10">
        <v>29965.111812333718</v>
      </c>
      <c r="C26" s="7">
        <v>691.26935850375264</v>
      </c>
      <c r="D26" s="7">
        <v>0</v>
      </c>
      <c r="E26" s="7">
        <v>0</v>
      </c>
      <c r="F26" s="17">
        <f t="shared" si="0"/>
        <v>30656.381170837471</v>
      </c>
      <c r="H26" s="4" t="s">
        <v>78</v>
      </c>
      <c r="I26" s="14">
        <f>SUM(I10:I16)-SUM(I19:I24)</f>
        <v>1272531.8899999857</v>
      </c>
      <c r="K26" s="10">
        <v>34200</v>
      </c>
      <c r="L26" s="7">
        <v>0</v>
      </c>
      <c r="M26" s="7"/>
      <c r="N26" s="7">
        <v>800</v>
      </c>
      <c r="O26" s="7">
        <v>0</v>
      </c>
      <c r="P26" s="7"/>
      <c r="Q26" s="7">
        <v>0</v>
      </c>
      <c r="R26" s="7">
        <v>0</v>
      </c>
      <c r="S26" s="7"/>
      <c r="T26" s="7">
        <v>0</v>
      </c>
      <c r="U26" s="17">
        <v>0</v>
      </c>
    </row>
    <row r="27" spans="1:21">
      <c r="A27" t="s">
        <v>21</v>
      </c>
      <c r="B27" s="10">
        <v>69426.081654640046</v>
      </c>
      <c r="C27" s="7">
        <v>2569.0156568955254</v>
      </c>
      <c r="D27" s="7">
        <v>0</v>
      </c>
      <c r="E27" s="7">
        <v>0</v>
      </c>
      <c r="F27" s="17">
        <f t="shared" si="0"/>
        <v>71995.097311535574</v>
      </c>
      <c r="H27" s="4" t="s">
        <v>79</v>
      </c>
      <c r="I27" s="14">
        <f>+F60</f>
        <v>1272531.8900000001</v>
      </c>
      <c r="K27" s="10"/>
      <c r="L27" s="7"/>
      <c r="M27" s="7"/>
      <c r="N27" s="7"/>
      <c r="O27" s="7"/>
      <c r="P27" s="7"/>
      <c r="Q27" s="7"/>
      <c r="R27" s="7"/>
      <c r="S27" s="7"/>
      <c r="T27" s="7"/>
      <c r="U27" s="17"/>
    </row>
    <row r="28" spans="1:21">
      <c r="A28" t="s">
        <v>22</v>
      </c>
      <c r="B28" s="10">
        <v>20006.386287924397</v>
      </c>
      <c r="C28" s="7">
        <v>1479.5589778501371</v>
      </c>
      <c r="D28" s="7">
        <v>0</v>
      </c>
      <c r="E28" s="7">
        <v>745.84325522773304</v>
      </c>
      <c r="F28" s="17">
        <f t="shared" si="0"/>
        <v>22231.788521002269</v>
      </c>
      <c r="H28" s="23"/>
      <c r="I28" s="25"/>
      <c r="K28" s="10"/>
      <c r="L28" s="7"/>
      <c r="M28" s="7"/>
      <c r="N28" s="7"/>
      <c r="O28" s="7"/>
      <c r="P28" s="7"/>
      <c r="Q28" s="7"/>
      <c r="R28" s="7"/>
      <c r="S28" s="7"/>
      <c r="T28" s="7"/>
      <c r="U28" s="17"/>
    </row>
    <row r="29" spans="1:21">
      <c r="A29" t="s">
        <v>23</v>
      </c>
      <c r="B29" s="10">
        <v>5192.6052105150311</v>
      </c>
      <c r="C29" s="7">
        <v>68.722684763530964</v>
      </c>
      <c r="D29" s="7">
        <v>0</v>
      </c>
      <c r="E29" s="7">
        <v>0</v>
      </c>
      <c r="F29" s="17">
        <f t="shared" si="0"/>
        <v>5261.3278952785622</v>
      </c>
      <c r="K29" s="10"/>
      <c r="L29" s="7"/>
      <c r="M29" s="7"/>
      <c r="N29" s="7"/>
      <c r="O29" s="7"/>
      <c r="P29" s="7"/>
      <c r="Q29" s="7"/>
      <c r="R29" s="7"/>
      <c r="S29" s="7"/>
      <c r="T29" s="7"/>
      <c r="U29" s="17"/>
    </row>
    <row r="30" spans="1:21">
      <c r="A30" t="s">
        <v>24</v>
      </c>
      <c r="B30" s="10">
        <v>1716.0458636540525</v>
      </c>
      <c r="C30" s="7">
        <v>0</v>
      </c>
      <c r="D30" s="7">
        <v>0</v>
      </c>
      <c r="E30" s="7">
        <v>0</v>
      </c>
      <c r="F30" s="17">
        <f t="shared" si="0"/>
        <v>1716.0458636540525</v>
      </c>
      <c r="K30" s="10"/>
      <c r="L30" s="7"/>
      <c r="M30" s="7"/>
      <c r="N30" s="7"/>
      <c r="O30" s="7"/>
      <c r="P30" s="7"/>
      <c r="Q30" s="7"/>
      <c r="R30" s="7"/>
      <c r="S30" s="7"/>
      <c r="T30" s="7"/>
      <c r="U30" s="17"/>
    </row>
    <row r="31" spans="1:21">
      <c r="A31" t="s">
        <v>25</v>
      </c>
      <c r="B31" s="10">
        <v>7442.2625088035593</v>
      </c>
      <c r="C31" s="7">
        <v>268.82697275145938</v>
      </c>
      <c r="D31" s="7">
        <v>0</v>
      </c>
      <c r="E31" s="7">
        <v>0</v>
      </c>
      <c r="F31" s="17">
        <f t="shared" si="0"/>
        <v>7711.0894815550182</v>
      </c>
      <c r="K31" s="10"/>
      <c r="L31" s="7"/>
      <c r="M31" s="7"/>
      <c r="N31" s="7"/>
      <c r="O31" s="7"/>
      <c r="P31" s="7"/>
      <c r="Q31" s="7"/>
      <c r="R31" s="7"/>
      <c r="S31" s="7"/>
      <c r="T31" s="7"/>
      <c r="U31" s="17"/>
    </row>
    <row r="32" spans="1:21">
      <c r="A32" t="s">
        <v>26</v>
      </c>
      <c r="B32" s="10">
        <v>582.12156505579173</v>
      </c>
      <c r="C32" s="7">
        <v>0</v>
      </c>
      <c r="D32" s="7">
        <v>0</v>
      </c>
      <c r="E32" s="7">
        <v>0</v>
      </c>
      <c r="F32" s="17">
        <f t="shared" si="0"/>
        <v>582.12156505579173</v>
      </c>
      <c r="K32" s="10"/>
      <c r="L32" s="7"/>
      <c r="M32" s="7"/>
      <c r="N32" s="7"/>
      <c r="O32" s="7"/>
      <c r="P32" s="7"/>
      <c r="Q32" s="7"/>
      <c r="R32" s="7"/>
      <c r="S32" s="7"/>
      <c r="T32" s="7"/>
      <c r="U32" s="17"/>
    </row>
    <row r="33" spans="1:21">
      <c r="A33" t="s">
        <v>27</v>
      </c>
      <c r="B33" s="10">
        <v>1380.5174615732838</v>
      </c>
      <c r="C33" s="7">
        <v>0</v>
      </c>
      <c r="D33" s="7">
        <v>0</v>
      </c>
      <c r="E33" s="7">
        <v>0</v>
      </c>
      <c r="F33" s="17">
        <f t="shared" si="0"/>
        <v>1380.5174615732838</v>
      </c>
      <c r="K33" s="10"/>
      <c r="L33" s="7"/>
      <c r="M33" s="7"/>
      <c r="N33" s="7"/>
      <c r="O33" s="7"/>
      <c r="P33" s="7"/>
      <c r="Q33" s="7"/>
      <c r="R33" s="7"/>
      <c r="S33" s="7"/>
      <c r="T33" s="7"/>
      <c r="U33" s="17"/>
    </row>
    <row r="34" spans="1:21">
      <c r="A34" t="s">
        <v>28</v>
      </c>
      <c r="B34" s="10">
        <v>1891.8950864313226</v>
      </c>
      <c r="C34" s="7">
        <v>0</v>
      </c>
      <c r="D34" s="7">
        <v>0</v>
      </c>
      <c r="E34" s="7">
        <v>0</v>
      </c>
      <c r="F34" s="17">
        <f t="shared" si="0"/>
        <v>1891.8950864313226</v>
      </c>
      <c r="K34" s="10"/>
      <c r="L34" s="7"/>
      <c r="M34" s="7"/>
      <c r="N34" s="7"/>
      <c r="O34" s="7"/>
      <c r="P34" s="7"/>
      <c r="Q34" s="7"/>
      <c r="R34" s="7"/>
      <c r="S34" s="7"/>
      <c r="T34" s="7"/>
      <c r="U34" s="17"/>
    </row>
    <row r="35" spans="1:21">
      <c r="A35" t="s">
        <v>29</v>
      </c>
      <c r="B35" s="10">
        <v>9380.6464702219764</v>
      </c>
      <c r="C35" s="7">
        <v>284.99701622523139</v>
      </c>
      <c r="D35" s="7">
        <v>0</v>
      </c>
      <c r="E35" s="7">
        <v>0</v>
      </c>
      <c r="F35" s="17">
        <f t="shared" si="0"/>
        <v>9665.6434864472085</v>
      </c>
      <c r="K35" s="10"/>
      <c r="L35" s="7"/>
      <c r="M35" s="7"/>
      <c r="N35" s="7"/>
      <c r="O35" s="7"/>
      <c r="P35" s="7"/>
      <c r="Q35" s="7"/>
      <c r="R35" s="7"/>
      <c r="S35" s="7"/>
      <c r="T35" s="7"/>
      <c r="U35" s="17"/>
    </row>
    <row r="36" spans="1:21">
      <c r="A36" t="s">
        <v>30</v>
      </c>
      <c r="B36" s="10">
        <v>75983.034283254601</v>
      </c>
      <c r="C36" s="7">
        <v>4972.2883681848871</v>
      </c>
      <c r="D36" s="7">
        <v>0</v>
      </c>
      <c r="E36" s="7">
        <v>2629.6533199221703</v>
      </c>
      <c r="F36" s="17">
        <f t="shared" si="0"/>
        <v>83584.975971361666</v>
      </c>
      <c r="K36" s="10"/>
      <c r="L36" s="7"/>
      <c r="M36" s="7"/>
      <c r="N36" s="7"/>
      <c r="O36" s="7"/>
      <c r="P36" s="7"/>
      <c r="Q36" s="7"/>
      <c r="R36" s="7"/>
      <c r="S36" s="7"/>
      <c r="T36" s="7"/>
      <c r="U36" s="17"/>
    </row>
    <row r="37" spans="1:21">
      <c r="A37" t="s">
        <v>31</v>
      </c>
      <c r="B37" s="10">
        <v>1093.4991899138311</v>
      </c>
      <c r="C37" s="7">
        <v>0</v>
      </c>
      <c r="D37" s="7">
        <v>0</v>
      </c>
      <c r="E37" s="7">
        <v>0</v>
      </c>
      <c r="F37" s="17">
        <f t="shared" si="0"/>
        <v>1093.4991899138311</v>
      </c>
      <c r="K37" s="10"/>
      <c r="L37" s="7"/>
      <c r="M37" s="7"/>
      <c r="N37" s="7"/>
      <c r="O37" s="7"/>
      <c r="P37" s="7"/>
      <c r="Q37" s="7"/>
      <c r="R37" s="7"/>
      <c r="S37" s="7"/>
      <c r="T37" s="7"/>
      <c r="U37" s="17"/>
    </row>
    <row r="38" spans="1:21">
      <c r="A38" t="s">
        <v>32</v>
      </c>
      <c r="B38" s="10">
        <v>65878.778367581326</v>
      </c>
      <c r="C38" s="7">
        <v>8216.4033401103934</v>
      </c>
      <c r="D38" s="7">
        <v>0</v>
      </c>
      <c r="E38" s="7">
        <v>2617.5257873168412</v>
      </c>
      <c r="F38" s="17">
        <f t="shared" ref="F38:F58" si="1">SUM(B38:E38)</f>
        <v>76712.707495008566</v>
      </c>
      <c r="K38" s="10"/>
      <c r="L38" s="7"/>
      <c r="M38" s="7"/>
      <c r="N38" s="7"/>
      <c r="O38" s="7"/>
      <c r="P38" s="7"/>
      <c r="Q38" s="7"/>
      <c r="R38" s="7"/>
      <c r="S38" s="7"/>
      <c r="T38" s="7"/>
      <c r="U38" s="17"/>
    </row>
    <row r="39" spans="1:21">
      <c r="A39" t="s">
        <v>33</v>
      </c>
      <c r="B39" s="10">
        <v>27958.005166151768</v>
      </c>
      <c r="C39" s="7">
        <v>24420.808156264149</v>
      </c>
      <c r="D39" s="7">
        <v>0</v>
      </c>
      <c r="E39" s="7">
        <v>3357.3052762419093</v>
      </c>
      <c r="F39" s="17">
        <f t="shared" si="1"/>
        <v>55736.118598657828</v>
      </c>
      <c r="K39" s="10"/>
      <c r="L39" s="7"/>
      <c r="M39" s="7"/>
      <c r="N39" s="7"/>
      <c r="O39" s="7"/>
      <c r="P39" s="7"/>
      <c r="Q39" s="7"/>
      <c r="R39" s="7"/>
      <c r="S39" s="7"/>
      <c r="T39" s="7"/>
      <c r="U39" s="17"/>
    </row>
    <row r="40" spans="1:21">
      <c r="A40" t="s">
        <v>34</v>
      </c>
      <c r="B40" s="10">
        <v>147.55164669816944</v>
      </c>
      <c r="C40" s="7">
        <v>0</v>
      </c>
      <c r="D40" s="7">
        <v>0</v>
      </c>
      <c r="E40" s="7">
        <v>0</v>
      </c>
      <c r="F40" s="17">
        <f t="shared" si="1"/>
        <v>147.55164669816944</v>
      </c>
      <c r="K40" s="10"/>
      <c r="L40" s="7"/>
      <c r="M40" s="7"/>
      <c r="N40" s="7"/>
      <c r="O40" s="7"/>
      <c r="P40" s="7"/>
      <c r="Q40" s="7"/>
      <c r="R40" s="7"/>
      <c r="S40" s="7"/>
      <c r="T40" s="7"/>
      <c r="U40" s="17"/>
    </row>
    <row r="41" spans="1:21">
      <c r="A41" t="s">
        <v>35</v>
      </c>
      <c r="B41" s="10">
        <v>39416.50222275345</v>
      </c>
      <c r="C41" s="7">
        <v>428.50615205495779</v>
      </c>
      <c r="D41" s="7">
        <v>0</v>
      </c>
      <c r="E41" s="7">
        <v>3688.7911674542352</v>
      </c>
      <c r="F41" s="17">
        <f t="shared" si="1"/>
        <v>43533.799542262641</v>
      </c>
      <c r="K41" s="10"/>
      <c r="L41" s="7"/>
      <c r="M41" s="7"/>
      <c r="N41" s="7"/>
      <c r="O41" s="7"/>
      <c r="P41" s="7"/>
      <c r="Q41" s="7"/>
      <c r="R41" s="7"/>
      <c r="S41" s="7"/>
      <c r="T41" s="7"/>
      <c r="U41" s="17"/>
    </row>
    <row r="42" spans="1:21">
      <c r="A42" t="s">
        <v>36</v>
      </c>
      <c r="B42" s="10">
        <v>3193.5835860699681</v>
      </c>
      <c r="C42" s="7">
        <v>6.0637663026644963</v>
      </c>
      <c r="D42" s="7">
        <v>0</v>
      </c>
      <c r="E42" s="7">
        <v>0</v>
      </c>
      <c r="F42" s="17">
        <f t="shared" si="1"/>
        <v>3199.6473523726327</v>
      </c>
      <c r="K42" s="10"/>
      <c r="L42" s="7"/>
      <c r="M42" s="7"/>
      <c r="N42" s="7"/>
      <c r="O42" s="7"/>
      <c r="P42" s="7"/>
      <c r="Q42" s="7"/>
      <c r="R42" s="7"/>
      <c r="S42" s="7"/>
      <c r="T42" s="7"/>
      <c r="U42" s="17"/>
    </row>
    <row r="43" spans="1:21">
      <c r="A43" t="s">
        <v>37</v>
      </c>
      <c r="B43" s="10">
        <v>3508.8994338085217</v>
      </c>
      <c r="C43" s="7">
        <v>0</v>
      </c>
      <c r="D43" s="7">
        <v>0</v>
      </c>
      <c r="E43" s="7">
        <v>0</v>
      </c>
      <c r="F43" s="17">
        <f t="shared" si="1"/>
        <v>3508.8994338085217</v>
      </c>
      <c r="K43" s="10"/>
      <c r="L43" s="7"/>
      <c r="M43" s="7"/>
      <c r="N43" s="7"/>
      <c r="O43" s="7"/>
      <c r="P43" s="7"/>
      <c r="Q43" s="7"/>
      <c r="R43" s="7"/>
      <c r="S43" s="7"/>
      <c r="T43" s="7"/>
      <c r="U43" s="17"/>
    </row>
    <row r="44" spans="1:21">
      <c r="A44" t="s">
        <v>38</v>
      </c>
      <c r="B44" s="10">
        <v>213842.76117433194</v>
      </c>
      <c r="C44" s="7">
        <v>22074.130597132989</v>
      </c>
      <c r="D44" s="7">
        <v>0</v>
      </c>
      <c r="E44" s="7">
        <v>13400.923528888539</v>
      </c>
      <c r="F44" s="17">
        <f t="shared" si="1"/>
        <v>249317.81530035345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9437.2416223801793</v>
      </c>
      <c r="C46" s="7">
        <v>208.18930972481439</v>
      </c>
      <c r="D46" s="7">
        <v>0</v>
      </c>
      <c r="E46" s="7">
        <v>0</v>
      </c>
      <c r="F46" s="17">
        <f t="shared" si="1"/>
        <v>9645.4309321049932</v>
      </c>
      <c r="K46" s="10"/>
      <c r="L46" s="7"/>
      <c r="M46" s="7"/>
      <c r="N46" s="7"/>
      <c r="O46" s="7"/>
      <c r="P46" s="7"/>
      <c r="Q46" s="7"/>
      <c r="R46" s="7"/>
      <c r="S46" s="7"/>
      <c r="T46" s="7"/>
      <c r="U46" s="17"/>
    </row>
    <row r="47" spans="1:21">
      <c r="A47" t="s">
        <v>41</v>
      </c>
      <c r="B47" s="10">
        <v>14199.319425406027</v>
      </c>
      <c r="C47" s="7">
        <v>274.8907390541238</v>
      </c>
      <c r="D47" s="7">
        <v>0</v>
      </c>
      <c r="E47" s="7">
        <v>0</v>
      </c>
      <c r="F47" s="17">
        <f t="shared" si="1"/>
        <v>14474.210164460152</v>
      </c>
      <c r="K47" s="10"/>
      <c r="L47" s="7"/>
      <c r="M47" s="7"/>
      <c r="N47" s="7"/>
      <c r="O47" s="7"/>
      <c r="P47" s="7"/>
      <c r="Q47" s="7"/>
      <c r="R47" s="7"/>
      <c r="S47" s="7"/>
      <c r="T47" s="7"/>
      <c r="U47" s="17"/>
    </row>
    <row r="48" spans="1:21">
      <c r="A48" t="s">
        <v>42</v>
      </c>
      <c r="B48" s="10">
        <v>171.8067119088274</v>
      </c>
      <c r="C48" s="7">
        <v>0</v>
      </c>
      <c r="D48" s="7">
        <v>0</v>
      </c>
      <c r="E48" s="7">
        <v>0</v>
      </c>
      <c r="F48" s="17">
        <f t="shared" si="1"/>
        <v>171.8067119088274</v>
      </c>
      <c r="K48" s="10"/>
      <c r="L48" s="7"/>
      <c r="M48" s="7"/>
      <c r="N48" s="7"/>
      <c r="O48" s="7"/>
      <c r="P48" s="7"/>
      <c r="Q48" s="7"/>
      <c r="R48" s="7"/>
      <c r="S48" s="7"/>
      <c r="T48" s="7"/>
      <c r="U48" s="17"/>
    </row>
    <row r="49" spans="1:21">
      <c r="A49" t="s">
        <v>43</v>
      </c>
      <c r="B49" s="10">
        <v>55550.163098709461</v>
      </c>
      <c r="C49" s="7">
        <v>10532.762067728232</v>
      </c>
      <c r="D49" s="7">
        <v>0</v>
      </c>
      <c r="E49" s="7">
        <v>0</v>
      </c>
      <c r="F49" s="17">
        <f t="shared" si="1"/>
        <v>66082.925166437693</v>
      </c>
      <c r="K49" s="10"/>
      <c r="L49" s="7"/>
      <c r="M49" s="7"/>
      <c r="N49" s="7"/>
      <c r="O49" s="7"/>
      <c r="P49" s="7"/>
      <c r="Q49" s="7"/>
      <c r="R49" s="7"/>
      <c r="S49" s="7"/>
      <c r="T49" s="7"/>
      <c r="U49" s="17"/>
    </row>
    <row r="50" spans="1:21">
      <c r="A50" t="s">
        <v>44</v>
      </c>
      <c r="B50" s="10">
        <v>22308.596227502683</v>
      </c>
      <c r="C50" s="7">
        <v>276.91199448834539</v>
      </c>
      <c r="D50" s="7">
        <v>0</v>
      </c>
      <c r="E50" s="7">
        <v>0</v>
      </c>
      <c r="F50" s="17">
        <f t="shared" si="1"/>
        <v>22585.508221991029</v>
      </c>
      <c r="K50" s="10"/>
      <c r="L50" s="7"/>
      <c r="M50" s="7"/>
      <c r="N50" s="7"/>
      <c r="O50" s="7"/>
      <c r="P50" s="7"/>
      <c r="Q50" s="7"/>
      <c r="R50" s="7"/>
      <c r="S50" s="7"/>
      <c r="T50" s="7"/>
      <c r="U50" s="17"/>
    </row>
    <row r="51" spans="1:21">
      <c r="A51" t="s">
        <v>45</v>
      </c>
      <c r="B51" s="10">
        <v>717.54567914863208</v>
      </c>
      <c r="C51" s="7">
        <v>0</v>
      </c>
      <c r="D51" s="7">
        <v>0</v>
      </c>
      <c r="E51" s="7">
        <v>0</v>
      </c>
      <c r="F51" s="17">
        <f t="shared" si="1"/>
        <v>717.54567914863208</v>
      </c>
      <c r="K51" s="10"/>
      <c r="L51" s="7"/>
      <c r="M51" s="7"/>
      <c r="N51" s="7"/>
      <c r="O51" s="7"/>
      <c r="P51" s="7"/>
      <c r="Q51" s="7"/>
      <c r="R51" s="7"/>
      <c r="S51" s="7"/>
      <c r="T51" s="7"/>
      <c r="U51" s="17"/>
    </row>
    <row r="52" spans="1:21">
      <c r="A52" t="s">
        <v>46</v>
      </c>
      <c r="B52" s="10">
        <v>1420.9425702577137</v>
      </c>
      <c r="C52" s="7">
        <v>0</v>
      </c>
      <c r="D52" s="7">
        <v>0</v>
      </c>
      <c r="E52" s="7">
        <v>0</v>
      </c>
      <c r="F52" s="17">
        <f t="shared" si="1"/>
        <v>1420.9425702577137</v>
      </c>
      <c r="K52" s="10"/>
      <c r="L52" s="7"/>
      <c r="M52" s="7"/>
      <c r="N52" s="7"/>
      <c r="O52" s="7"/>
      <c r="P52" s="7"/>
      <c r="Q52" s="7"/>
      <c r="R52" s="7"/>
      <c r="S52" s="7"/>
      <c r="T52" s="7"/>
      <c r="U52" s="17"/>
    </row>
    <row r="53" spans="1:21">
      <c r="A53" t="s">
        <v>47</v>
      </c>
      <c r="B53" s="10">
        <v>25027.184786530601</v>
      </c>
      <c r="C53" s="7">
        <v>1386.5812278759483</v>
      </c>
      <c r="D53" s="7">
        <v>0</v>
      </c>
      <c r="E53" s="7">
        <v>0</v>
      </c>
      <c r="F53" s="17">
        <f t="shared" si="1"/>
        <v>26413.766014406548</v>
      </c>
      <c r="K53" s="10"/>
      <c r="L53" s="7"/>
      <c r="M53" s="7"/>
      <c r="N53" s="7"/>
      <c r="O53" s="7"/>
      <c r="P53" s="7"/>
      <c r="Q53" s="7"/>
      <c r="R53" s="7"/>
      <c r="S53" s="7"/>
      <c r="T53" s="7"/>
      <c r="U53" s="17"/>
    </row>
    <row r="54" spans="1:21">
      <c r="A54" t="s">
        <v>48</v>
      </c>
      <c r="B54" s="10">
        <v>10807.652806782356</v>
      </c>
      <c r="C54" s="7">
        <v>2981.3517654767111</v>
      </c>
      <c r="D54" s="7">
        <v>0</v>
      </c>
      <c r="E54" s="7">
        <v>0</v>
      </c>
      <c r="F54" s="17">
        <f t="shared" si="1"/>
        <v>13789.004572259068</v>
      </c>
      <c r="K54" s="10"/>
      <c r="L54" s="7"/>
      <c r="M54" s="7"/>
      <c r="N54" s="7"/>
      <c r="O54" s="7"/>
      <c r="P54" s="7"/>
      <c r="Q54" s="7"/>
      <c r="R54" s="7"/>
      <c r="S54" s="7"/>
      <c r="T54" s="7"/>
      <c r="U54" s="17"/>
    </row>
    <row r="55" spans="1:21">
      <c r="A55" t="s">
        <v>49</v>
      </c>
      <c r="B55" s="10">
        <v>3280.4975697414925</v>
      </c>
      <c r="C55" s="7">
        <v>0</v>
      </c>
      <c r="D55" s="7">
        <v>0</v>
      </c>
      <c r="E55" s="7">
        <v>0</v>
      </c>
      <c r="F55" s="17">
        <f t="shared" si="1"/>
        <v>3280.4975697414925</v>
      </c>
      <c r="K55" s="10"/>
      <c r="L55" s="7"/>
      <c r="M55" s="7"/>
      <c r="N55" s="7"/>
      <c r="O55" s="7"/>
      <c r="P55" s="7"/>
      <c r="Q55" s="7"/>
      <c r="R55" s="7"/>
      <c r="S55" s="7"/>
      <c r="T55" s="7"/>
      <c r="U55" s="17"/>
    </row>
    <row r="56" spans="1:21">
      <c r="A56" t="s">
        <v>50</v>
      </c>
      <c r="B56" s="10">
        <v>4361.8692270499942</v>
      </c>
      <c r="C56" s="7">
        <v>48.510130421315978</v>
      </c>
      <c r="D56" s="7">
        <v>0</v>
      </c>
      <c r="E56" s="7">
        <v>0</v>
      </c>
      <c r="F56" s="17">
        <f t="shared" si="1"/>
        <v>4410.37935747131</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1130722.6299904541</v>
      </c>
      <c r="C60" s="7">
        <f>SUM(C6:C58)</f>
        <v>113818.91475644681</v>
      </c>
      <c r="D60" s="7">
        <f>SUM(D6:D58)</f>
        <v>0</v>
      </c>
      <c r="E60" s="7">
        <f>SUM(E6:E58)</f>
        <v>27990.345253099316</v>
      </c>
      <c r="F60" s="17">
        <f>SUM(F6:F58)</f>
        <v>1272531.8900000001</v>
      </c>
      <c r="K60" s="10">
        <f>SUM(K6:K58)</f>
        <v>41049</v>
      </c>
      <c r="L60" s="7">
        <f>SUM(L6:L58)</f>
        <v>0</v>
      </c>
      <c r="M60" s="7"/>
      <c r="N60" s="7">
        <f>SUM(N6:N58)</f>
        <v>3876</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Italic"Fidelity Mutual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320.73472742374361</v>
      </c>
      <c r="C8" s="7">
        <v>0</v>
      </c>
      <c r="D8" s="7">
        <v>26652.229401764122</v>
      </c>
      <c r="E8" s="7">
        <v>0</v>
      </c>
      <c r="F8" s="17">
        <f t="shared" si="0"/>
        <v>26972.964129187865</v>
      </c>
      <c r="H8" s="4" t="s">
        <v>64</v>
      </c>
      <c r="I8" s="13"/>
      <c r="K8" s="10"/>
      <c r="L8" s="7"/>
      <c r="M8" s="7"/>
      <c r="N8" s="7"/>
      <c r="O8" s="7"/>
      <c r="P8" s="7"/>
      <c r="Q8" s="7"/>
      <c r="R8" s="7"/>
      <c r="S8" s="7"/>
      <c r="T8" s="7"/>
      <c r="U8" s="17"/>
    </row>
    <row r="9" spans="1:21">
      <c r="A9" t="s">
        <v>3</v>
      </c>
      <c r="B9" s="10">
        <v>21.152879170579268</v>
      </c>
      <c r="C9" s="7">
        <v>0</v>
      </c>
      <c r="D9" s="7">
        <v>1757.7497537933939</v>
      </c>
      <c r="E9" s="7">
        <v>0</v>
      </c>
      <c r="F9" s="17">
        <f t="shared" si="0"/>
        <v>1778.9026329639732</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0.61156283316300608</v>
      </c>
      <c r="C11" s="7">
        <v>0</v>
      </c>
      <c r="D11" s="7">
        <v>50.819295602870234</v>
      </c>
      <c r="E11" s="7">
        <v>0</v>
      </c>
      <c r="F11" s="17">
        <f t="shared" si="0"/>
        <v>51.43085843603324</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270932.72000000003</v>
      </c>
      <c r="K15" s="10"/>
      <c r="L15" s="7"/>
      <c r="M15" s="7"/>
      <c r="N15" s="7"/>
      <c r="O15" s="7"/>
      <c r="P15" s="7"/>
      <c r="Q15" s="7"/>
      <c r="R15" s="7"/>
      <c r="S15" s="7"/>
      <c r="T15" s="7"/>
      <c r="U15" s="17"/>
    </row>
    <row r="16" spans="1:21">
      <c r="A16" t="s">
        <v>10</v>
      </c>
      <c r="B16" s="10">
        <v>0.11991428101235413</v>
      </c>
      <c r="C16" s="7">
        <v>0</v>
      </c>
      <c r="D16" s="7">
        <v>9.9645677652686739</v>
      </c>
      <c r="E16" s="7">
        <v>0</v>
      </c>
      <c r="F16" s="17">
        <f t="shared" si="0"/>
        <v>10.084482046281028</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275.79085490031326</v>
      </c>
      <c r="C19" s="7">
        <v>0</v>
      </c>
      <c r="D19" s="7">
        <v>22917.509403341421</v>
      </c>
      <c r="E19" s="7">
        <v>0</v>
      </c>
      <c r="F19" s="17">
        <f t="shared" si="0"/>
        <v>23193.300258241736</v>
      </c>
      <c r="H19" s="4" t="s">
        <v>72</v>
      </c>
      <c r="I19" s="14">
        <v>0</v>
      </c>
      <c r="K19" s="10"/>
      <c r="L19" s="7"/>
      <c r="M19" s="7"/>
      <c r="N19" s="7"/>
      <c r="O19" s="7"/>
      <c r="P19" s="7"/>
      <c r="Q19" s="7"/>
      <c r="R19" s="7"/>
      <c r="S19" s="7"/>
      <c r="T19" s="7"/>
      <c r="U19" s="17"/>
    </row>
    <row r="20" spans="1:21">
      <c r="A20" t="s">
        <v>14</v>
      </c>
      <c r="B20" s="10">
        <v>448.46741955810313</v>
      </c>
      <c r="C20" s="7">
        <v>0</v>
      </c>
      <c r="D20" s="7">
        <v>37266.486985328309</v>
      </c>
      <c r="E20" s="7">
        <v>0</v>
      </c>
      <c r="F20" s="17">
        <f t="shared" si="0"/>
        <v>37714.954404886412</v>
      </c>
      <c r="H20" s="4" t="s">
        <v>73</v>
      </c>
      <c r="I20" s="14">
        <v>0</v>
      </c>
      <c r="K20" s="10"/>
      <c r="L20" s="7"/>
      <c r="M20" s="7"/>
      <c r="N20" s="7"/>
      <c r="O20" s="7"/>
      <c r="P20" s="7"/>
      <c r="Q20" s="7"/>
      <c r="R20" s="7"/>
      <c r="S20" s="7"/>
      <c r="T20" s="7"/>
      <c r="U20" s="17"/>
    </row>
    <row r="21" spans="1:21">
      <c r="A21" t="s">
        <v>15</v>
      </c>
      <c r="B21" s="10">
        <v>72.188397169437181</v>
      </c>
      <c r="C21" s="7">
        <v>0</v>
      </c>
      <c r="D21" s="7">
        <v>5998.669794691742</v>
      </c>
      <c r="E21" s="7">
        <v>0</v>
      </c>
      <c r="F21" s="17">
        <f t="shared" si="0"/>
        <v>6070.858191861179</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0.17987142151853119</v>
      </c>
      <c r="C23" s="7">
        <v>0</v>
      </c>
      <c r="D23" s="7">
        <v>14.946851647903012</v>
      </c>
      <c r="E23" s="7">
        <v>0</v>
      </c>
      <c r="F23" s="17">
        <f t="shared" si="0"/>
        <v>15.126723069421542</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270932.72000000003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270932.71999999991</v>
      </c>
      <c r="K27" s="10"/>
      <c r="L27" s="7"/>
      <c r="M27" s="7"/>
      <c r="N27" s="7"/>
      <c r="O27" s="7"/>
      <c r="P27" s="7"/>
      <c r="Q27" s="7"/>
      <c r="R27" s="7"/>
      <c r="S27" s="7"/>
      <c r="T27" s="7"/>
      <c r="U27" s="17"/>
    </row>
    <row r="28" spans="1:21">
      <c r="A28" t="s">
        <v>22</v>
      </c>
      <c r="B28" s="10">
        <v>820.75329638905771</v>
      </c>
      <c r="C28" s="7">
        <v>0</v>
      </c>
      <c r="D28" s="7">
        <v>68202.484069381433</v>
      </c>
      <c r="E28" s="7">
        <v>0</v>
      </c>
      <c r="F28" s="17">
        <f t="shared" si="0"/>
        <v>69023.237365770488</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331.67090985207028</v>
      </c>
      <c r="C31" s="7">
        <v>0</v>
      </c>
      <c r="D31" s="7">
        <v>27560.997981956625</v>
      </c>
      <c r="E31" s="7">
        <v>0</v>
      </c>
      <c r="F31" s="17">
        <f t="shared" si="0"/>
        <v>27892.668891808695</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232.52578231105588</v>
      </c>
      <c r="C33" s="7">
        <v>0</v>
      </c>
      <c r="D33" s="7">
        <v>19322.293353632485</v>
      </c>
      <c r="E33" s="7">
        <v>0</v>
      </c>
      <c r="F33" s="17">
        <f t="shared" si="0"/>
        <v>19554.81913594354</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0.22783713392347285</v>
      </c>
      <c r="C39" s="7">
        <v>0</v>
      </c>
      <c r="D39" s="7">
        <v>18.932678754010482</v>
      </c>
      <c r="E39" s="7">
        <v>0</v>
      </c>
      <c r="F39" s="17">
        <f t="shared" si="1"/>
        <v>19.160515887933954</v>
      </c>
      <c r="K39" s="10"/>
      <c r="L39" s="7"/>
      <c r="M39" s="7"/>
      <c r="N39" s="7"/>
      <c r="O39" s="7"/>
      <c r="P39" s="7"/>
      <c r="Q39" s="7"/>
      <c r="R39" s="7"/>
      <c r="S39" s="7"/>
      <c r="T39" s="7"/>
      <c r="U39" s="17"/>
    </row>
    <row r="40" spans="1:21">
      <c r="A40" t="s">
        <v>34</v>
      </c>
      <c r="B40" s="10">
        <v>2.3982856202470822E-2</v>
      </c>
      <c r="C40" s="7">
        <v>0</v>
      </c>
      <c r="D40" s="7">
        <v>1.9929135530537345</v>
      </c>
      <c r="E40" s="7">
        <v>0</v>
      </c>
      <c r="F40" s="17">
        <f t="shared" si="1"/>
        <v>2.0168964092562054</v>
      </c>
      <c r="K40" s="10"/>
      <c r="L40" s="7"/>
      <c r="M40" s="7"/>
      <c r="N40" s="7"/>
      <c r="O40" s="7"/>
      <c r="P40" s="7"/>
      <c r="Q40" s="7"/>
      <c r="R40" s="7"/>
      <c r="S40" s="7"/>
      <c r="T40" s="7"/>
      <c r="U40" s="17"/>
    </row>
    <row r="41" spans="1:21">
      <c r="A41" t="s">
        <v>35</v>
      </c>
      <c r="B41" s="10">
        <v>524.10934802069619</v>
      </c>
      <c r="C41" s="7">
        <v>0</v>
      </c>
      <c r="D41" s="7">
        <v>43552.136331659793</v>
      </c>
      <c r="E41" s="7">
        <v>0</v>
      </c>
      <c r="F41" s="17">
        <f t="shared" si="1"/>
        <v>44076.245679680491</v>
      </c>
      <c r="K41" s="10"/>
      <c r="L41" s="7"/>
      <c r="M41" s="7"/>
      <c r="N41" s="7"/>
      <c r="O41" s="7"/>
      <c r="P41" s="7"/>
      <c r="Q41" s="7"/>
      <c r="R41" s="7"/>
      <c r="S41" s="7"/>
      <c r="T41" s="7"/>
      <c r="U41" s="17"/>
    </row>
    <row r="42" spans="1:21">
      <c r="A42" t="s">
        <v>36</v>
      </c>
      <c r="B42" s="10">
        <v>21.884356284754627</v>
      </c>
      <c r="C42" s="7">
        <v>0</v>
      </c>
      <c r="D42" s="7">
        <v>1818.5336171615329</v>
      </c>
      <c r="E42" s="7">
        <v>0</v>
      </c>
      <c r="F42" s="17">
        <f t="shared" si="1"/>
        <v>1840.4179734462875</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5.9957140506177065E-2</v>
      </c>
      <c r="C44" s="7">
        <v>0</v>
      </c>
      <c r="D44" s="7">
        <v>4.982283882634337</v>
      </c>
      <c r="E44" s="7">
        <v>0</v>
      </c>
      <c r="F44" s="17">
        <f t="shared" si="1"/>
        <v>5.0422410231405141</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9.7250481901019192</v>
      </c>
      <c r="C47" s="7">
        <v>0</v>
      </c>
      <c r="D47" s="7">
        <v>808.12644576328944</v>
      </c>
      <c r="E47" s="7">
        <v>0</v>
      </c>
      <c r="F47" s="17">
        <f t="shared" si="1"/>
        <v>817.85149395339135</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12.183290950855181</v>
      </c>
      <c r="C49" s="7">
        <v>0</v>
      </c>
      <c r="D49" s="7">
        <v>1012.4000849512973</v>
      </c>
      <c r="E49" s="7">
        <v>0</v>
      </c>
      <c r="F49" s="17">
        <f t="shared" si="1"/>
        <v>1024.5833759021525</v>
      </c>
      <c r="K49" s="10"/>
      <c r="L49" s="7"/>
      <c r="M49" s="7"/>
      <c r="N49" s="7"/>
      <c r="O49" s="7"/>
      <c r="P49" s="7"/>
      <c r="Q49" s="7"/>
      <c r="R49" s="7"/>
      <c r="S49" s="7"/>
      <c r="T49" s="7"/>
      <c r="U49" s="17"/>
    </row>
    <row r="50" spans="1:21">
      <c r="A50" t="s">
        <v>44</v>
      </c>
      <c r="B50" s="10">
        <v>58.062494866181865</v>
      </c>
      <c r="C50" s="7">
        <v>0</v>
      </c>
      <c r="D50" s="7">
        <v>4824.8437119430919</v>
      </c>
      <c r="E50" s="7">
        <v>0</v>
      </c>
      <c r="F50" s="17">
        <f t="shared" si="1"/>
        <v>4882.9062068092735</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2.3982856202470822E-2</v>
      </c>
      <c r="C53" s="7">
        <v>0</v>
      </c>
      <c r="D53" s="7">
        <v>1.9929135530537345</v>
      </c>
      <c r="E53" s="7">
        <v>0</v>
      </c>
      <c r="F53" s="17">
        <f t="shared" si="1"/>
        <v>2.0168964092562054</v>
      </c>
      <c r="K53" s="10"/>
      <c r="L53" s="7"/>
      <c r="M53" s="7"/>
      <c r="N53" s="7"/>
      <c r="O53" s="7"/>
      <c r="P53" s="7"/>
      <c r="Q53" s="7"/>
      <c r="R53" s="7"/>
      <c r="S53" s="7"/>
      <c r="T53" s="7"/>
      <c r="U53" s="17"/>
    </row>
    <row r="54" spans="1:21">
      <c r="A54" t="s">
        <v>48</v>
      </c>
      <c r="B54" s="10">
        <v>0.25181999012594364</v>
      </c>
      <c r="C54" s="7">
        <v>0</v>
      </c>
      <c r="D54" s="7">
        <v>20.92559230706421</v>
      </c>
      <c r="E54" s="7">
        <v>0</v>
      </c>
      <c r="F54" s="17">
        <f t="shared" si="1"/>
        <v>21.177412297190155</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70.869340078301278</v>
      </c>
      <c r="C56" s="7">
        <v>0</v>
      </c>
      <c r="D56" s="7">
        <v>5889.0595492737857</v>
      </c>
      <c r="E56" s="7">
        <v>0</v>
      </c>
      <c r="F56" s="17">
        <f t="shared" si="1"/>
        <v>5959.928889352087</v>
      </c>
      <c r="K56" s="10"/>
      <c r="L56" s="7"/>
      <c r="M56" s="7"/>
      <c r="N56" s="7"/>
      <c r="O56" s="7"/>
      <c r="P56" s="7"/>
      <c r="Q56" s="7"/>
      <c r="R56" s="7"/>
      <c r="S56" s="7"/>
      <c r="T56" s="7"/>
      <c r="U56" s="17"/>
    </row>
    <row r="57" spans="1:21">
      <c r="A57" t="s">
        <v>51</v>
      </c>
      <c r="B57" s="10">
        <v>3.5974284303706236E-2</v>
      </c>
      <c r="C57" s="7">
        <v>0</v>
      </c>
      <c r="D57" s="7">
        <v>2.989370329580602</v>
      </c>
      <c r="E57" s="7">
        <v>0</v>
      </c>
      <c r="F57" s="17">
        <f t="shared" si="1"/>
        <v>3.0253446138843083</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3221.6530479622106</v>
      </c>
      <c r="C60" s="7">
        <f>SUM(C6:C58)</f>
        <v>0</v>
      </c>
      <c r="D60" s="7">
        <f>SUM(D6:D58)</f>
        <v>267711.0669520378</v>
      </c>
      <c r="E60" s="7">
        <f>SUM(E6:E58)</f>
        <v>0</v>
      </c>
      <c r="F60" s="17">
        <f>SUM(F6:F58)</f>
        <v>270932.71999999991</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Community Mutual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531.9101341604769</v>
      </c>
      <c r="C6" s="7">
        <v>33.603007407413344</v>
      </c>
      <c r="D6" s="7">
        <v>0</v>
      </c>
      <c r="E6" s="7">
        <v>0</v>
      </c>
      <c r="F6" s="17">
        <f t="shared" ref="F6:F37" si="0">SUM(B6:E6)</f>
        <v>565.51314156789022</v>
      </c>
      <c r="K6" s="10"/>
      <c r="L6" s="7"/>
      <c r="M6" s="7"/>
      <c r="N6" s="7"/>
      <c r="O6" s="7"/>
      <c r="P6" s="7"/>
      <c r="Q6" s="7"/>
      <c r="R6" s="7"/>
      <c r="S6" s="7"/>
      <c r="T6" s="7"/>
      <c r="U6" s="17"/>
    </row>
    <row r="7" spans="1:21">
      <c r="A7" t="s">
        <v>1</v>
      </c>
      <c r="B7" s="10">
        <v>64.178967367377652</v>
      </c>
      <c r="C7" s="7">
        <v>9.332426604706086</v>
      </c>
      <c r="D7" s="7">
        <v>0</v>
      </c>
      <c r="E7" s="7">
        <v>0</v>
      </c>
      <c r="F7" s="17">
        <f t="shared" si="0"/>
        <v>73.511393972083738</v>
      </c>
      <c r="H7" s="22"/>
      <c r="I7" s="24"/>
      <c r="K7" s="10">
        <v>337</v>
      </c>
      <c r="L7" s="7">
        <v>4800</v>
      </c>
      <c r="M7" s="7"/>
      <c r="N7" s="7">
        <v>40</v>
      </c>
      <c r="O7" s="7">
        <v>0</v>
      </c>
      <c r="P7" s="7"/>
      <c r="Q7" s="7">
        <v>10</v>
      </c>
      <c r="R7" s="7">
        <v>0</v>
      </c>
      <c r="S7" s="7"/>
      <c r="T7" s="7">
        <v>0</v>
      </c>
      <c r="U7" s="17">
        <v>0</v>
      </c>
    </row>
    <row r="8" spans="1:21">
      <c r="A8" t="s">
        <v>2</v>
      </c>
      <c r="B8" s="10">
        <v>2157.813047691865</v>
      </c>
      <c r="C8" s="7">
        <v>144.68744367145473</v>
      </c>
      <c r="D8" s="7">
        <v>0</v>
      </c>
      <c r="E8" s="7">
        <v>0</v>
      </c>
      <c r="F8" s="17">
        <f t="shared" si="0"/>
        <v>2302.5004913633197</v>
      </c>
      <c r="H8" s="4" t="s">
        <v>64</v>
      </c>
      <c r="I8" s="13"/>
      <c r="K8" s="10"/>
      <c r="L8" s="7"/>
      <c r="M8" s="7"/>
      <c r="N8" s="7"/>
      <c r="O8" s="7"/>
      <c r="P8" s="7"/>
      <c r="Q8" s="7"/>
      <c r="R8" s="7"/>
      <c r="S8" s="7"/>
      <c r="T8" s="7"/>
      <c r="U8" s="17"/>
    </row>
    <row r="9" spans="1:21">
      <c r="A9" t="s">
        <v>3</v>
      </c>
      <c r="B9" s="10">
        <v>441.61474941439747</v>
      </c>
      <c r="C9" s="7">
        <v>10.33463200720125</v>
      </c>
      <c r="D9" s="7">
        <v>0</v>
      </c>
      <c r="E9" s="7">
        <v>0</v>
      </c>
      <c r="F9" s="17">
        <f t="shared" si="0"/>
        <v>451.94938142159873</v>
      </c>
      <c r="H9" s="4"/>
      <c r="I9" s="13"/>
      <c r="K9" s="10">
        <v>5587</v>
      </c>
      <c r="L9" s="7">
        <v>0</v>
      </c>
      <c r="M9" s="7"/>
      <c r="N9" s="7">
        <v>0</v>
      </c>
      <c r="O9" s="7">
        <v>0</v>
      </c>
      <c r="P9" s="7"/>
      <c r="Q9" s="7">
        <v>0</v>
      </c>
      <c r="R9" s="7">
        <v>0</v>
      </c>
      <c r="S9" s="7"/>
      <c r="T9" s="7">
        <v>0</v>
      </c>
      <c r="U9" s="17">
        <v>0</v>
      </c>
    </row>
    <row r="10" spans="1:21">
      <c r="A10" t="s">
        <v>4</v>
      </c>
      <c r="B10" s="10">
        <v>6521.2985458814073</v>
      </c>
      <c r="C10" s="7">
        <v>789.87042955700963</v>
      </c>
      <c r="D10" s="7">
        <v>0</v>
      </c>
      <c r="E10" s="7">
        <v>0</v>
      </c>
      <c r="F10" s="17">
        <f t="shared" si="0"/>
        <v>7311.168975438417</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484.40110202720507</v>
      </c>
      <c r="C12" s="7">
        <v>98.431453193612015</v>
      </c>
      <c r="D12" s="7">
        <v>0</v>
      </c>
      <c r="E12" s="7">
        <v>0</v>
      </c>
      <c r="F12" s="17">
        <f t="shared" si="0"/>
        <v>582.83255522081708</v>
      </c>
      <c r="H12" s="4" t="s">
        <v>66</v>
      </c>
      <c r="I12" s="14"/>
      <c r="K12" s="10">
        <v>106000</v>
      </c>
      <c r="L12" s="7">
        <v>0</v>
      </c>
      <c r="M12" s="7"/>
      <c r="N12" s="7">
        <v>210000</v>
      </c>
      <c r="O12" s="7">
        <v>0</v>
      </c>
      <c r="P12" s="7"/>
      <c r="Q12" s="7">
        <v>0</v>
      </c>
      <c r="R12" s="7">
        <v>0</v>
      </c>
      <c r="S12" s="7"/>
      <c r="T12" s="7">
        <v>0</v>
      </c>
      <c r="U12" s="17">
        <v>0</v>
      </c>
    </row>
    <row r="13" spans="1:21">
      <c r="A13" t="s">
        <v>7</v>
      </c>
      <c r="B13" s="10">
        <v>141.52599454296558</v>
      </c>
      <c r="C13" s="7">
        <v>32.84106424960936</v>
      </c>
      <c r="D13" s="7">
        <v>0</v>
      </c>
      <c r="E13" s="7">
        <v>0</v>
      </c>
      <c r="F13" s="17">
        <f t="shared" si="0"/>
        <v>174.36705879257494</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5577.2091820195419</v>
      </c>
      <c r="C15" s="7">
        <v>744.81245862087872</v>
      </c>
      <c r="D15" s="7">
        <v>0</v>
      </c>
      <c r="E15" s="7">
        <v>0</v>
      </c>
      <c r="F15" s="17">
        <f t="shared" si="0"/>
        <v>6322.0216406404206</v>
      </c>
      <c r="H15" s="4" t="s">
        <v>69</v>
      </c>
      <c r="I15" s="14">
        <v>386898.54999999964</v>
      </c>
      <c r="K15" s="10"/>
      <c r="L15" s="7"/>
      <c r="M15" s="7"/>
      <c r="N15" s="7"/>
      <c r="O15" s="7"/>
      <c r="P15" s="7"/>
      <c r="Q15" s="7"/>
      <c r="R15" s="7"/>
      <c r="S15" s="7"/>
      <c r="T15" s="7"/>
      <c r="U15" s="17"/>
    </row>
    <row r="16" spans="1:21">
      <c r="A16" t="s">
        <v>10</v>
      </c>
      <c r="B16" s="10">
        <v>657.79161510075664</v>
      </c>
      <c r="C16" s="7">
        <v>43.144098790286534</v>
      </c>
      <c r="D16" s="7">
        <v>0</v>
      </c>
      <c r="E16" s="7">
        <v>0</v>
      </c>
      <c r="F16" s="17">
        <f t="shared" si="0"/>
        <v>700.93571389104318</v>
      </c>
      <c r="H16" s="4" t="s">
        <v>70</v>
      </c>
      <c r="I16" s="14">
        <v>0</v>
      </c>
      <c r="K16" s="10"/>
      <c r="L16" s="7"/>
      <c r="M16" s="7"/>
      <c r="N16" s="7"/>
      <c r="O16" s="7"/>
      <c r="P16" s="7"/>
      <c r="Q16" s="7"/>
      <c r="R16" s="7"/>
      <c r="S16" s="7"/>
      <c r="T16" s="7"/>
      <c r="U16" s="17"/>
    </row>
    <row r="17" spans="1:21">
      <c r="A17" t="s">
        <v>11</v>
      </c>
      <c r="B17" s="10">
        <v>325.05630905179578</v>
      </c>
      <c r="C17" s="7">
        <v>62.784114559955015</v>
      </c>
      <c r="D17" s="7">
        <v>0</v>
      </c>
      <c r="E17" s="7">
        <v>0</v>
      </c>
      <c r="F17" s="17">
        <f t="shared" si="0"/>
        <v>387.84042361175079</v>
      </c>
      <c r="H17" s="4"/>
      <c r="I17" s="14"/>
      <c r="K17" s="10">
        <v>0</v>
      </c>
      <c r="L17" s="7">
        <v>12871</v>
      </c>
      <c r="M17" s="7"/>
      <c r="N17" s="7">
        <v>0</v>
      </c>
      <c r="O17" s="7">
        <v>2463</v>
      </c>
      <c r="P17" s="7"/>
      <c r="Q17" s="7">
        <v>0</v>
      </c>
      <c r="R17" s="7">
        <v>0</v>
      </c>
      <c r="S17" s="7"/>
      <c r="T17" s="7">
        <v>0</v>
      </c>
      <c r="U17" s="17">
        <v>0</v>
      </c>
    </row>
    <row r="18" spans="1:21">
      <c r="A18" t="s">
        <v>12</v>
      </c>
      <c r="B18" s="10">
        <v>227.73232116915983</v>
      </c>
      <c r="C18" s="7">
        <v>9.6897555808695586</v>
      </c>
      <c r="D18" s="7">
        <v>0</v>
      </c>
      <c r="E18" s="7">
        <v>0</v>
      </c>
      <c r="F18" s="17">
        <f t="shared" si="0"/>
        <v>237.42207675002939</v>
      </c>
      <c r="H18" s="4" t="s">
        <v>71</v>
      </c>
      <c r="I18" s="14"/>
      <c r="K18" s="10"/>
      <c r="L18" s="7"/>
      <c r="M18" s="7"/>
      <c r="N18" s="7"/>
      <c r="O18" s="7"/>
      <c r="P18" s="7"/>
      <c r="Q18" s="7"/>
      <c r="R18" s="7"/>
      <c r="S18" s="7"/>
      <c r="T18" s="7"/>
      <c r="U18" s="17"/>
    </row>
    <row r="19" spans="1:21">
      <c r="A19" t="s">
        <v>13</v>
      </c>
      <c r="B19" s="10">
        <v>2022.8878971351969</v>
      </c>
      <c r="C19" s="7">
        <v>107.47927479591965</v>
      </c>
      <c r="D19" s="7">
        <v>0</v>
      </c>
      <c r="E19" s="7">
        <v>0</v>
      </c>
      <c r="F19" s="17">
        <f t="shared" si="0"/>
        <v>2130.3671719311164</v>
      </c>
      <c r="H19" s="4" t="s">
        <v>72</v>
      </c>
      <c r="I19" s="14">
        <v>0</v>
      </c>
      <c r="K19" s="10"/>
      <c r="L19" s="7"/>
      <c r="M19" s="7"/>
      <c r="N19" s="7"/>
      <c r="O19" s="7"/>
      <c r="P19" s="7"/>
      <c r="Q19" s="7"/>
      <c r="R19" s="7"/>
      <c r="S19" s="7"/>
      <c r="T19" s="7"/>
      <c r="U19" s="17"/>
    </row>
    <row r="20" spans="1:21">
      <c r="A20" t="s">
        <v>14</v>
      </c>
      <c r="B20" s="10">
        <v>1266.3873325244958</v>
      </c>
      <c r="C20" s="7">
        <v>94.126069919821816</v>
      </c>
      <c r="D20" s="7">
        <v>0</v>
      </c>
      <c r="E20" s="7">
        <v>0</v>
      </c>
      <c r="F20" s="17">
        <f t="shared" si="0"/>
        <v>1360.5134024443178</v>
      </c>
      <c r="H20" s="4" t="s">
        <v>73</v>
      </c>
      <c r="I20" s="14">
        <v>0</v>
      </c>
      <c r="K20" s="10"/>
      <c r="L20" s="7"/>
      <c r="M20" s="7"/>
      <c r="N20" s="7"/>
      <c r="O20" s="7"/>
      <c r="P20" s="7"/>
      <c r="Q20" s="7"/>
      <c r="R20" s="7"/>
      <c r="S20" s="7"/>
      <c r="T20" s="7"/>
      <c r="U20" s="17"/>
    </row>
    <row r="21" spans="1:21">
      <c r="A21" t="s">
        <v>15</v>
      </c>
      <c r="B21" s="10">
        <v>1611.0920188464352</v>
      </c>
      <c r="C21" s="7">
        <v>131.59654903011312</v>
      </c>
      <c r="D21" s="7">
        <v>0</v>
      </c>
      <c r="E21" s="7">
        <v>0</v>
      </c>
      <c r="F21" s="17">
        <f t="shared" si="0"/>
        <v>1742.6885678765484</v>
      </c>
      <c r="H21" s="4" t="s">
        <v>74</v>
      </c>
      <c r="I21" s="14"/>
      <c r="K21" s="10"/>
      <c r="L21" s="7"/>
      <c r="M21" s="7"/>
      <c r="N21" s="7"/>
      <c r="O21" s="7"/>
      <c r="P21" s="7"/>
      <c r="Q21" s="7"/>
      <c r="R21" s="7"/>
      <c r="S21" s="7"/>
      <c r="T21" s="7"/>
      <c r="U21" s="17"/>
    </row>
    <row r="22" spans="1:21">
      <c r="A22" t="s">
        <v>16</v>
      </c>
      <c r="B22" s="10">
        <v>307.23665634386452</v>
      </c>
      <c r="C22" s="7">
        <v>32.346744390220266</v>
      </c>
      <c r="D22" s="7">
        <v>0</v>
      </c>
      <c r="E22" s="7">
        <v>0</v>
      </c>
      <c r="F22" s="17">
        <f t="shared" si="0"/>
        <v>339.58340073408476</v>
      </c>
      <c r="H22" s="4" t="s">
        <v>75</v>
      </c>
      <c r="I22" s="14">
        <v>0</v>
      </c>
      <c r="K22" s="10"/>
      <c r="L22" s="7"/>
      <c r="M22" s="7"/>
      <c r="N22" s="7"/>
      <c r="O22" s="7"/>
      <c r="P22" s="7"/>
      <c r="Q22" s="7"/>
      <c r="R22" s="7"/>
      <c r="S22" s="7"/>
      <c r="T22" s="7"/>
      <c r="U22" s="17"/>
    </row>
    <row r="23" spans="1:21">
      <c r="A23" t="s">
        <v>17</v>
      </c>
      <c r="B23" s="10">
        <v>928.02038539601745</v>
      </c>
      <c r="C23" s="7">
        <v>79.201520988416291</v>
      </c>
      <c r="D23" s="7">
        <v>0</v>
      </c>
      <c r="E23" s="7">
        <v>0</v>
      </c>
      <c r="F23" s="17">
        <f t="shared" si="0"/>
        <v>1007.2219063844337</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333632.99999999994</v>
      </c>
      <c r="K24" s="10"/>
      <c r="L24" s="7"/>
      <c r="M24" s="7"/>
      <c r="N24" s="7"/>
      <c r="O24" s="7"/>
      <c r="P24" s="7"/>
      <c r="Q24" s="7"/>
      <c r="R24" s="7"/>
      <c r="S24" s="7"/>
      <c r="T24" s="7"/>
      <c r="U24" s="17"/>
    </row>
    <row r="25" spans="1:21">
      <c r="A25" t="s">
        <v>19</v>
      </c>
      <c r="B25" s="10">
        <v>392.34212910922497</v>
      </c>
      <c r="C25" s="7">
        <v>53.852094378862546</v>
      </c>
      <c r="D25" s="7">
        <v>0</v>
      </c>
      <c r="E25" s="7">
        <v>0</v>
      </c>
      <c r="F25" s="17">
        <f t="shared" si="0"/>
        <v>446.19422348808752</v>
      </c>
      <c r="H25" s="4"/>
      <c r="I25" s="14"/>
      <c r="K25" s="10"/>
      <c r="L25" s="7"/>
      <c r="M25" s="7"/>
      <c r="N25" s="7"/>
      <c r="O25" s="7"/>
      <c r="P25" s="7"/>
      <c r="Q25" s="7"/>
      <c r="R25" s="7"/>
      <c r="S25" s="7"/>
      <c r="T25" s="7"/>
      <c r="U25" s="17"/>
    </row>
    <row r="26" spans="1:21">
      <c r="A26" t="s">
        <v>20</v>
      </c>
      <c r="B26" s="10">
        <v>823.00191284307857</v>
      </c>
      <c r="C26" s="7">
        <v>74.051792312619</v>
      </c>
      <c r="D26" s="7">
        <v>0</v>
      </c>
      <c r="E26" s="7">
        <v>0</v>
      </c>
      <c r="F26" s="17">
        <f t="shared" si="0"/>
        <v>897.05370515569757</v>
      </c>
      <c r="H26" s="4" t="s">
        <v>78</v>
      </c>
      <c r="I26" s="14">
        <f>SUM(I10:I16)-SUM(I19:I24)</f>
        <v>53265.549999999697</v>
      </c>
      <c r="K26" s="10"/>
      <c r="L26" s="7"/>
      <c r="M26" s="7"/>
      <c r="N26" s="7"/>
      <c r="O26" s="7"/>
      <c r="P26" s="7"/>
      <c r="Q26" s="7"/>
      <c r="R26" s="7"/>
      <c r="S26" s="7"/>
      <c r="T26" s="7"/>
      <c r="U26" s="17"/>
    </row>
    <row r="27" spans="1:21">
      <c r="A27" t="s">
        <v>21</v>
      </c>
      <c r="B27" s="10">
        <v>1928.2683357614569</v>
      </c>
      <c r="C27" s="7">
        <v>179.09618438641519</v>
      </c>
      <c r="D27" s="7">
        <v>0</v>
      </c>
      <c r="E27" s="7">
        <v>0</v>
      </c>
      <c r="F27" s="17">
        <f t="shared" si="0"/>
        <v>2107.3645201478721</v>
      </c>
      <c r="H27" s="4" t="s">
        <v>79</v>
      </c>
      <c r="I27" s="14">
        <f>+F60</f>
        <v>53265.549999999996</v>
      </c>
      <c r="K27" s="10"/>
      <c r="L27" s="7"/>
      <c r="M27" s="7"/>
      <c r="N27" s="7"/>
      <c r="O27" s="7"/>
      <c r="P27" s="7"/>
      <c r="Q27" s="7"/>
      <c r="R27" s="7"/>
      <c r="S27" s="7"/>
      <c r="T27" s="7"/>
      <c r="U27" s="17"/>
    </row>
    <row r="28" spans="1:21">
      <c r="A28" t="s">
        <v>22</v>
      </c>
      <c r="B28" s="10">
        <v>892.24246811286139</v>
      </c>
      <c r="C28" s="7">
        <v>63.380796328746783</v>
      </c>
      <c r="D28" s="7">
        <v>0</v>
      </c>
      <c r="E28" s="7">
        <v>0</v>
      </c>
      <c r="F28" s="17">
        <f t="shared" si="0"/>
        <v>955.62326444160817</v>
      </c>
      <c r="H28" s="23"/>
      <c r="I28" s="25"/>
      <c r="K28" s="10"/>
      <c r="L28" s="7"/>
      <c r="M28" s="7"/>
      <c r="N28" s="7"/>
      <c r="O28" s="7"/>
      <c r="P28" s="7"/>
      <c r="Q28" s="7"/>
      <c r="R28" s="7"/>
      <c r="S28" s="7"/>
      <c r="T28" s="7"/>
      <c r="U28" s="17"/>
    </row>
    <row r="29" spans="1:21">
      <c r="A29" t="s">
        <v>23</v>
      </c>
      <c r="B29" s="10">
        <v>582.01230330642602</v>
      </c>
      <c r="C29" s="7">
        <v>69.666387706952833</v>
      </c>
      <c r="D29" s="7">
        <v>0</v>
      </c>
      <c r="E29" s="7">
        <v>0</v>
      </c>
      <c r="F29" s="17">
        <f t="shared" si="0"/>
        <v>651.67869101337885</v>
      </c>
      <c r="K29" s="10"/>
      <c r="L29" s="7"/>
      <c r="M29" s="7"/>
      <c r="N29" s="7"/>
      <c r="O29" s="7"/>
      <c r="P29" s="7"/>
      <c r="Q29" s="7"/>
      <c r="R29" s="7"/>
      <c r="S29" s="7"/>
      <c r="T29" s="7"/>
      <c r="U29" s="17"/>
    </row>
    <row r="30" spans="1:21">
      <c r="A30" t="s">
        <v>24</v>
      </c>
      <c r="B30" s="10">
        <v>149.18460750134841</v>
      </c>
      <c r="C30" s="7">
        <v>0</v>
      </c>
      <c r="D30" s="7">
        <v>0</v>
      </c>
      <c r="E30" s="7">
        <v>0</v>
      </c>
      <c r="F30" s="17">
        <f t="shared" si="0"/>
        <v>149.18460750134841</v>
      </c>
      <c r="K30" s="10"/>
      <c r="L30" s="7"/>
      <c r="M30" s="7"/>
      <c r="N30" s="7"/>
      <c r="O30" s="7"/>
      <c r="P30" s="7"/>
      <c r="Q30" s="7"/>
      <c r="R30" s="7"/>
      <c r="S30" s="7"/>
      <c r="T30" s="7"/>
      <c r="U30" s="17"/>
    </row>
    <row r="31" spans="1:21">
      <c r="A31" t="s">
        <v>25</v>
      </c>
      <c r="B31" s="10">
        <v>717.88516680442353</v>
      </c>
      <c r="C31" s="7">
        <v>221.7782830002152</v>
      </c>
      <c r="D31" s="7">
        <v>0</v>
      </c>
      <c r="E31" s="7">
        <v>0</v>
      </c>
      <c r="F31" s="17">
        <f t="shared" si="0"/>
        <v>939.66344980463873</v>
      </c>
      <c r="K31" s="10"/>
      <c r="L31" s="7"/>
      <c r="M31" s="7"/>
      <c r="N31" s="7"/>
      <c r="O31" s="7"/>
      <c r="P31" s="7"/>
      <c r="Q31" s="7"/>
      <c r="R31" s="7"/>
      <c r="S31" s="7"/>
      <c r="T31" s="7"/>
      <c r="U31" s="17"/>
    </row>
    <row r="32" spans="1:21">
      <c r="A32" t="s">
        <v>26</v>
      </c>
      <c r="B32" s="10">
        <v>115.88739926065284</v>
      </c>
      <c r="C32" s="7">
        <v>0</v>
      </c>
      <c r="D32" s="7">
        <v>0</v>
      </c>
      <c r="E32" s="7">
        <v>0</v>
      </c>
      <c r="F32" s="17">
        <f t="shared" si="0"/>
        <v>115.88739926065284</v>
      </c>
      <c r="K32" s="10">
        <v>300000</v>
      </c>
      <c r="L32" s="7">
        <v>0</v>
      </c>
      <c r="M32" s="7"/>
      <c r="N32" s="7">
        <v>0</v>
      </c>
      <c r="O32" s="7">
        <v>0</v>
      </c>
      <c r="P32" s="7"/>
      <c r="Q32" s="7">
        <v>0</v>
      </c>
      <c r="R32" s="7">
        <v>0</v>
      </c>
      <c r="S32" s="7"/>
      <c r="T32" s="7">
        <v>0</v>
      </c>
      <c r="U32" s="17">
        <v>0</v>
      </c>
    </row>
    <row r="33" spans="1:21">
      <c r="A33" t="s">
        <v>27</v>
      </c>
      <c r="B33" s="10">
        <v>508.45289700632566</v>
      </c>
      <c r="C33" s="7">
        <v>14.6842392729952</v>
      </c>
      <c r="D33" s="7">
        <v>0</v>
      </c>
      <c r="E33" s="7">
        <v>0</v>
      </c>
      <c r="F33" s="17">
        <f t="shared" si="0"/>
        <v>523.13713627932088</v>
      </c>
      <c r="K33" s="10"/>
      <c r="L33" s="7"/>
      <c r="M33" s="7"/>
      <c r="N33" s="7"/>
      <c r="O33" s="7"/>
      <c r="P33" s="7"/>
      <c r="Q33" s="7"/>
      <c r="R33" s="7"/>
      <c r="S33" s="7"/>
      <c r="T33" s="7"/>
      <c r="U33" s="17"/>
    </row>
    <row r="34" spans="1:21">
      <c r="A34" t="s">
        <v>28</v>
      </c>
      <c r="B34" s="10">
        <v>624.52830261208646</v>
      </c>
      <c r="C34" s="7">
        <v>8.6691551911841671</v>
      </c>
      <c r="D34" s="7">
        <v>0</v>
      </c>
      <c r="E34" s="7">
        <v>0</v>
      </c>
      <c r="F34" s="17">
        <f t="shared" si="0"/>
        <v>633.19745780327059</v>
      </c>
      <c r="K34" s="10"/>
      <c r="L34" s="7"/>
      <c r="M34" s="7"/>
      <c r="N34" s="7"/>
      <c r="O34" s="7"/>
      <c r="P34" s="7"/>
      <c r="Q34" s="7"/>
      <c r="R34" s="7"/>
      <c r="S34" s="7"/>
      <c r="T34" s="7"/>
      <c r="U34" s="17"/>
    </row>
    <row r="35" spans="1:21">
      <c r="A35" t="s">
        <v>29</v>
      </c>
      <c r="B35" s="10">
        <v>395.17950087790541</v>
      </c>
      <c r="C35" s="7">
        <v>22.382772549008138</v>
      </c>
      <c r="D35" s="7">
        <v>0</v>
      </c>
      <c r="E35" s="7">
        <v>0</v>
      </c>
      <c r="F35" s="17">
        <f t="shared" si="0"/>
        <v>417.56227342691352</v>
      </c>
      <c r="K35" s="10"/>
      <c r="L35" s="7"/>
      <c r="M35" s="7"/>
      <c r="N35" s="7"/>
      <c r="O35" s="7"/>
      <c r="P35" s="7"/>
      <c r="Q35" s="7"/>
      <c r="R35" s="7"/>
      <c r="S35" s="7"/>
      <c r="T35" s="7"/>
      <c r="U35" s="17"/>
    </row>
    <row r="36" spans="1:21">
      <c r="A36" t="s">
        <v>30</v>
      </c>
      <c r="B36" s="10">
        <v>2944.1087468509177</v>
      </c>
      <c r="C36" s="7">
        <v>163.61464204308868</v>
      </c>
      <c r="D36" s="7">
        <v>0</v>
      </c>
      <c r="E36" s="7">
        <v>0</v>
      </c>
      <c r="F36" s="17">
        <f t="shared" si="0"/>
        <v>3107.7233888940063</v>
      </c>
      <c r="K36" s="10"/>
      <c r="L36" s="7"/>
      <c r="M36" s="7"/>
      <c r="N36" s="7"/>
      <c r="O36" s="7"/>
      <c r="P36" s="7"/>
      <c r="Q36" s="7"/>
      <c r="R36" s="7"/>
      <c r="S36" s="7"/>
      <c r="T36" s="7"/>
      <c r="U36" s="17"/>
    </row>
    <row r="37" spans="1:21">
      <c r="A37" t="s">
        <v>31</v>
      </c>
      <c r="B37" s="10">
        <v>392.09176509916824</v>
      </c>
      <c r="C37" s="7">
        <v>40.448302915513779</v>
      </c>
      <c r="D37" s="7">
        <v>0</v>
      </c>
      <c r="E37" s="7">
        <v>0</v>
      </c>
      <c r="F37" s="17">
        <f t="shared" si="0"/>
        <v>432.54006801468199</v>
      </c>
      <c r="K37" s="10">
        <v>200000</v>
      </c>
      <c r="L37" s="7">
        <v>0</v>
      </c>
      <c r="M37" s="7"/>
      <c r="N37" s="7">
        <v>502555</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723.26887778089986</v>
      </c>
      <c r="C39" s="7">
        <v>80.84614004499764</v>
      </c>
      <c r="D39" s="7">
        <v>0</v>
      </c>
      <c r="E39" s="7">
        <v>0</v>
      </c>
      <c r="F39" s="17">
        <f t="shared" si="1"/>
        <v>804.11501782589744</v>
      </c>
      <c r="K39" s="10"/>
      <c r="L39" s="7"/>
      <c r="M39" s="7"/>
      <c r="N39" s="7"/>
      <c r="O39" s="7"/>
      <c r="P39" s="7"/>
      <c r="Q39" s="7"/>
      <c r="R39" s="7"/>
      <c r="S39" s="7"/>
      <c r="T39" s="7"/>
      <c r="U39" s="17"/>
    </row>
    <row r="40" spans="1:21">
      <c r="A40" t="s">
        <v>34</v>
      </c>
      <c r="B40" s="10">
        <v>252.38189138699954</v>
      </c>
      <c r="C40" s="7">
        <v>0</v>
      </c>
      <c r="D40" s="7">
        <v>0</v>
      </c>
      <c r="E40" s="7">
        <v>0</v>
      </c>
      <c r="F40" s="17">
        <f t="shared" si="1"/>
        <v>252.38189138699954</v>
      </c>
      <c r="K40" s="10"/>
      <c r="L40" s="7"/>
      <c r="M40" s="7"/>
      <c r="N40" s="7"/>
      <c r="O40" s="7"/>
      <c r="P40" s="7"/>
      <c r="Q40" s="7"/>
      <c r="R40" s="7"/>
      <c r="S40" s="7"/>
      <c r="T40" s="7"/>
      <c r="U40" s="17"/>
    </row>
    <row r="41" spans="1:21">
      <c r="A41" t="s">
        <v>35</v>
      </c>
      <c r="B41" s="10">
        <v>1569.8776969737828</v>
      </c>
      <c r="C41" s="7">
        <v>69.415807558336155</v>
      </c>
      <c r="D41" s="7">
        <v>0</v>
      </c>
      <c r="E41" s="7">
        <v>0</v>
      </c>
      <c r="F41" s="17">
        <f t="shared" si="1"/>
        <v>1639.293504532119</v>
      </c>
      <c r="K41" s="10"/>
      <c r="L41" s="7"/>
      <c r="M41" s="7"/>
      <c r="N41" s="7"/>
      <c r="O41" s="7"/>
      <c r="P41" s="7"/>
      <c r="Q41" s="7"/>
      <c r="R41" s="7"/>
      <c r="S41" s="7"/>
      <c r="T41" s="7"/>
      <c r="U41" s="17"/>
    </row>
    <row r="42" spans="1:21">
      <c r="A42" t="s">
        <v>36</v>
      </c>
      <c r="B42" s="10">
        <v>595.63672040039046</v>
      </c>
      <c r="C42" s="7">
        <v>16.935664586387603</v>
      </c>
      <c r="D42" s="7">
        <v>0</v>
      </c>
      <c r="E42" s="7">
        <v>0</v>
      </c>
      <c r="F42" s="17">
        <f t="shared" si="1"/>
        <v>612.57238498677805</v>
      </c>
      <c r="K42" s="10"/>
      <c r="L42" s="7"/>
      <c r="M42" s="7"/>
      <c r="N42" s="7"/>
      <c r="O42" s="7"/>
      <c r="P42" s="7"/>
      <c r="Q42" s="7"/>
      <c r="R42" s="7"/>
      <c r="S42" s="7"/>
      <c r="T42" s="7"/>
      <c r="U42" s="17"/>
    </row>
    <row r="43" spans="1:21">
      <c r="A43" t="s">
        <v>37</v>
      </c>
      <c r="B43" s="10">
        <v>424.43823477894921</v>
      </c>
      <c r="C43" s="7">
        <v>75.696249717123806</v>
      </c>
      <c r="D43" s="7">
        <v>0</v>
      </c>
      <c r="E43" s="7">
        <v>0</v>
      </c>
      <c r="F43" s="17">
        <f t="shared" si="1"/>
        <v>500.13448449607301</v>
      </c>
      <c r="K43" s="10"/>
      <c r="L43" s="7"/>
      <c r="M43" s="7"/>
      <c r="N43" s="7"/>
      <c r="O43" s="7"/>
      <c r="P43" s="7"/>
      <c r="Q43" s="7"/>
      <c r="R43" s="7"/>
      <c r="S43" s="7"/>
      <c r="T43" s="7"/>
      <c r="U43" s="17"/>
    </row>
    <row r="44" spans="1:21">
      <c r="A44" t="s">
        <v>38</v>
      </c>
      <c r="B44" s="10">
        <v>2510.2859785744768</v>
      </c>
      <c r="C44" s="7">
        <v>106.43566272371993</v>
      </c>
      <c r="D44" s="7">
        <v>0</v>
      </c>
      <c r="E44" s="7">
        <v>0</v>
      </c>
      <c r="F44" s="17">
        <f t="shared" si="1"/>
        <v>2616.7216412981966</v>
      </c>
      <c r="K44" s="10"/>
      <c r="L44" s="7"/>
      <c r="M44" s="7"/>
      <c r="N44" s="7"/>
      <c r="O44" s="7"/>
      <c r="P44" s="7"/>
      <c r="Q44" s="7"/>
      <c r="R44" s="7"/>
      <c r="S44" s="7"/>
      <c r="T44" s="7"/>
      <c r="U44" s="17"/>
    </row>
    <row r="45" spans="1:21">
      <c r="A45" t="s">
        <v>39</v>
      </c>
      <c r="B45" s="10">
        <v>37.944486469419729</v>
      </c>
      <c r="C45" s="7">
        <v>0</v>
      </c>
      <c r="D45" s="7">
        <v>0</v>
      </c>
      <c r="E45" s="7">
        <v>0</v>
      </c>
      <c r="F45" s="17">
        <f t="shared" si="1"/>
        <v>37.944486469419729</v>
      </c>
      <c r="K45" s="10"/>
      <c r="L45" s="7"/>
      <c r="M45" s="7"/>
      <c r="N45" s="7"/>
      <c r="O45" s="7"/>
      <c r="P45" s="7"/>
      <c r="Q45" s="7"/>
      <c r="R45" s="7"/>
      <c r="S45" s="7"/>
      <c r="T45" s="7"/>
      <c r="U45" s="17"/>
    </row>
    <row r="46" spans="1:21">
      <c r="A46" t="s">
        <v>40</v>
      </c>
      <c r="B46" s="10">
        <v>141.64053266453061</v>
      </c>
      <c r="C46" s="7">
        <v>18.910551097457557</v>
      </c>
      <c r="D46" s="7">
        <v>0</v>
      </c>
      <c r="E46" s="7">
        <v>0</v>
      </c>
      <c r="F46" s="17">
        <f t="shared" si="1"/>
        <v>160.55108376198817</v>
      </c>
      <c r="K46" s="10"/>
      <c r="L46" s="7"/>
      <c r="M46" s="7"/>
      <c r="N46" s="7"/>
      <c r="O46" s="7"/>
      <c r="P46" s="7"/>
      <c r="Q46" s="7"/>
      <c r="R46" s="7"/>
      <c r="S46" s="7"/>
      <c r="T46" s="7"/>
      <c r="U46" s="17"/>
    </row>
    <row r="47" spans="1:21">
      <c r="A47" t="s">
        <v>41</v>
      </c>
      <c r="B47" s="10">
        <v>360.07145734603455</v>
      </c>
      <c r="C47" s="7">
        <v>24.175627889385197</v>
      </c>
      <c r="D47" s="7">
        <v>0</v>
      </c>
      <c r="E47" s="7">
        <v>0</v>
      </c>
      <c r="F47" s="17">
        <f t="shared" si="1"/>
        <v>384.24708523541972</v>
      </c>
      <c r="K47" s="10"/>
      <c r="L47" s="7"/>
      <c r="M47" s="7"/>
      <c r="N47" s="7"/>
      <c r="O47" s="7"/>
      <c r="P47" s="7"/>
      <c r="Q47" s="7"/>
      <c r="R47" s="7"/>
      <c r="S47" s="7"/>
      <c r="T47" s="7"/>
      <c r="U47" s="17"/>
    </row>
    <row r="48" spans="1:21">
      <c r="A48" t="s">
        <v>42</v>
      </c>
      <c r="B48" s="10">
        <v>289.17471568373321</v>
      </c>
      <c r="C48" s="7">
        <v>2.3314616806651411</v>
      </c>
      <c r="D48" s="7">
        <v>0</v>
      </c>
      <c r="E48" s="7">
        <v>0</v>
      </c>
      <c r="F48" s="17">
        <f t="shared" si="1"/>
        <v>291.50617736439835</v>
      </c>
      <c r="K48" s="10"/>
      <c r="L48" s="7"/>
      <c r="M48" s="7"/>
      <c r="N48" s="7"/>
      <c r="O48" s="7"/>
      <c r="P48" s="7"/>
      <c r="Q48" s="7"/>
      <c r="R48" s="7"/>
      <c r="S48" s="7"/>
      <c r="T48" s="7"/>
      <c r="U48" s="17"/>
    </row>
    <row r="49" spans="1:21">
      <c r="A49" t="s">
        <v>43</v>
      </c>
      <c r="B49" s="10">
        <v>616.75092552990554</v>
      </c>
      <c r="C49" s="7">
        <v>14.212792912993194</v>
      </c>
      <c r="D49" s="7">
        <v>0</v>
      </c>
      <c r="E49" s="7">
        <v>0</v>
      </c>
      <c r="F49" s="17">
        <f t="shared" si="1"/>
        <v>630.96371844289877</v>
      </c>
      <c r="K49" s="10"/>
      <c r="L49" s="7"/>
      <c r="M49" s="7"/>
      <c r="N49" s="7"/>
      <c r="O49" s="7"/>
      <c r="P49" s="7"/>
      <c r="Q49" s="7"/>
      <c r="R49" s="7"/>
      <c r="S49" s="7"/>
      <c r="T49" s="7"/>
      <c r="U49" s="17"/>
    </row>
    <row r="50" spans="1:21">
      <c r="A50" t="s">
        <v>44</v>
      </c>
      <c r="B50" s="10">
        <v>3178.9347083207394</v>
      </c>
      <c r="C50" s="7">
        <v>274.14521919165873</v>
      </c>
      <c r="D50" s="7">
        <v>0</v>
      </c>
      <c r="E50" s="7">
        <v>0</v>
      </c>
      <c r="F50" s="17">
        <f t="shared" si="1"/>
        <v>3453.0799275123982</v>
      </c>
      <c r="K50" s="10"/>
      <c r="L50" s="7"/>
      <c r="M50" s="7"/>
      <c r="N50" s="7"/>
      <c r="O50" s="7"/>
      <c r="P50" s="7"/>
      <c r="Q50" s="7"/>
      <c r="R50" s="7"/>
      <c r="S50" s="7"/>
      <c r="T50" s="7"/>
      <c r="U50" s="17"/>
    </row>
    <row r="51" spans="1:21">
      <c r="A51" t="s">
        <v>45</v>
      </c>
      <c r="B51" s="10">
        <v>903.19079198499549</v>
      </c>
      <c r="C51" s="7">
        <v>27.160121411396972</v>
      </c>
      <c r="D51" s="7">
        <v>0</v>
      </c>
      <c r="E51" s="7">
        <v>0</v>
      </c>
      <c r="F51" s="17">
        <f t="shared" si="1"/>
        <v>930.35091339639246</v>
      </c>
      <c r="K51" s="10"/>
      <c r="L51" s="7"/>
      <c r="M51" s="7"/>
      <c r="N51" s="7"/>
      <c r="O51" s="7"/>
      <c r="P51" s="7"/>
      <c r="Q51" s="7"/>
      <c r="R51" s="7"/>
      <c r="S51" s="7"/>
      <c r="T51" s="7"/>
      <c r="U51" s="17"/>
    </row>
    <row r="52" spans="1:21">
      <c r="A52" t="s">
        <v>46</v>
      </c>
      <c r="B52" s="10">
        <v>92.813438212882943</v>
      </c>
      <c r="C52" s="7">
        <v>5.8983870012251529</v>
      </c>
      <c r="D52" s="7">
        <v>0</v>
      </c>
      <c r="E52" s="7">
        <v>0</v>
      </c>
      <c r="F52" s="17">
        <f t="shared" si="1"/>
        <v>98.711825214108103</v>
      </c>
      <c r="K52" s="10"/>
      <c r="L52" s="7"/>
      <c r="M52" s="7"/>
      <c r="N52" s="7"/>
      <c r="O52" s="7"/>
      <c r="P52" s="7"/>
      <c r="Q52" s="7"/>
      <c r="R52" s="7"/>
      <c r="S52" s="7"/>
      <c r="T52" s="7"/>
      <c r="U52" s="17"/>
    </row>
    <row r="53" spans="1:21">
      <c r="A53" t="s">
        <v>47</v>
      </c>
      <c r="B53" s="10">
        <v>758.33540042012464</v>
      </c>
      <c r="C53" s="7">
        <v>67.67438948423279</v>
      </c>
      <c r="D53" s="7">
        <v>0</v>
      </c>
      <c r="E53" s="7">
        <v>0</v>
      </c>
      <c r="F53" s="17">
        <f t="shared" si="1"/>
        <v>826.00978990435738</v>
      </c>
      <c r="K53" s="10"/>
      <c r="L53" s="7"/>
      <c r="M53" s="7"/>
      <c r="N53" s="7"/>
      <c r="O53" s="7"/>
      <c r="P53" s="7"/>
      <c r="Q53" s="7"/>
      <c r="R53" s="7"/>
      <c r="S53" s="7"/>
      <c r="T53" s="7"/>
      <c r="U53" s="17"/>
    </row>
    <row r="54" spans="1:21">
      <c r="A54" t="s">
        <v>48</v>
      </c>
      <c r="B54" s="10">
        <v>798.29577359093673</v>
      </c>
      <c r="C54" s="7">
        <v>292.64218346903931</v>
      </c>
      <c r="D54" s="7">
        <v>0</v>
      </c>
      <c r="E54" s="7">
        <v>0</v>
      </c>
      <c r="F54" s="17">
        <f t="shared" si="1"/>
        <v>1090.937957059976</v>
      </c>
      <c r="K54" s="10"/>
      <c r="L54" s="7"/>
      <c r="M54" s="7"/>
      <c r="N54" s="7"/>
      <c r="O54" s="7"/>
      <c r="P54" s="7"/>
      <c r="Q54" s="7"/>
      <c r="R54" s="7"/>
      <c r="S54" s="7"/>
      <c r="T54" s="7"/>
      <c r="U54" s="17"/>
    </row>
    <row r="55" spans="1:21">
      <c r="A55" t="s">
        <v>49</v>
      </c>
      <c r="B55" s="10">
        <v>277.05390109847417</v>
      </c>
      <c r="C55" s="7">
        <v>15.470256216721964</v>
      </c>
      <c r="D55" s="7">
        <v>0</v>
      </c>
      <c r="E55" s="7">
        <v>0</v>
      </c>
      <c r="F55" s="17">
        <f t="shared" si="1"/>
        <v>292.52415731519613</v>
      </c>
      <c r="K55" s="10"/>
      <c r="L55" s="7"/>
      <c r="M55" s="7"/>
      <c r="N55" s="7"/>
      <c r="O55" s="7"/>
      <c r="P55" s="7"/>
      <c r="Q55" s="7"/>
      <c r="R55" s="7"/>
      <c r="S55" s="7"/>
      <c r="T55" s="7"/>
      <c r="U55" s="17"/>
    </row>
    <row r="56" spans="1:21">
      <c r="A56" t="s">
        <v>50</v>
      </c>
      <c r="B56" s="10">
        <v>1345.3903090133481</v>
      </c>
      <c r="C56" s="7">
        <v>98.965003762098377</v>
      </c>
      <c r="D56" s="7">
        <v>0</v>
      </c>
      <c r="E56" s="7">
        <v>0</v>
      </c>
      <c r="F56" s="17">
        <f t="shared" si="1"/>
        <v>1444.3553127754465</v>
      </c>
      <c r="K56" s="10"/>
      <c r="L56" s="7"/>
      <c r="M56" s="7"/>
      <c r="N56" s="7"/>
      <c r="O56" s="7"/>
      <c r="P56" s="7"/>
      <c r="Q56" s="7"/>
      <c r="R56" s="7"/>
      <c r="S56" s="7"/>
      <c r="T56" s="7"/>
      <c r="U56" s="17"/>
    </row>
    <row r="57" spans="1:21">
      <c r="A57" t="s">
        <v>51</v>
      </c>
      <c r="B57" s="10">
        <v>110.83979279365735</v>
      </c>
      <c r="C57" s="7">
        <v>21.061360956358811</v>
      </c>
      <c r="D57" s="7">
        <v>0</v>
      </c>
      <c r="E57" s="7">
        <v>0</v>
      </c>
      <c r="F57" s="17">
        <f t="shared" si="1"/>
        <v>131.90115375001616</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48717.667426843116</v>
      </c>
      <c r="C60" s="7">
        <f>SUM(C6:C58)</f>
        <v>4547.8825731568886</v>
      </c>
      <c r="D60" s="7">
        <f>SUM(D6:D58)</f>
        <v>0</v>
      </c>
      <c r="E60" s="7">
        <f>SUM(E6:E58)</f>
        <v>0</v>
      </c>
      <c r="F60" s="17">
        <f>SUM(F6:F58)</f>
        <v>53265.549999999996</v>
      </c>
      <c r="K60" s="10">
        <f>SUM(K6:K58)</f>
        <v>611924</v>
      </c>
      <c r="L60" s="7">
        <f>SUM(L6:L58)</f>
        <v>17671</v>
      </c>
      <c r="M60" s="7"/>
      <c r="N60" s="7">
        <f>SUM(N6:N58)</f>
        <v>712595</v>
      </c>
      <c r="O60" s="7">
        <f>SUM(O6:O58)</f>
        <v>2463</v>
      </c>
      <c r="P60" s="7"/>
      <c r="Q60" s="7">
        <f>SUM(Q6:Q58)</f>
        <v>10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Italic"First Capital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38191.066837883322</v>
      </c>
      <c r="E6" s="7">
        <v>0</v>
      </c>
      <c r="F6" s="17">
        <f t="shared" ref="F6:F37" si="0">SUM(B6:E6)</f>
        <v>38191.066837883322</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7194.2472862248251</v>
      </c>
      <c r="E8" s="7">
        <v>0</v>
      </c>
      <c r="F8" s="17">
        <f t="shared" si="0"/>
        <v>7194.2472862248251</v>
      </c>
      <c r="H8" s="4" t="s">
        <v>64</v>
      </c>
      <c r="I8" s="13"/>
      <c r="K8" s="10">
        <v>0</v>
      </c>
      <c r="L8" s="7">
        <v>0</v>
      </c>
      <c r="M8" s="7"/>
      <c r="N8" s="7">
        <v>0</v>
      </c>
      <c r="O8" s="7">
        <v>0</v>
      </c>
      <c r="P8" s="7"/>
      <c r="Q8" s="7">
        <v>0</v>
      </c>
      <c r="R8" s="7">
        <v>0</v>
      </c>
      <c r="S8" s="7"/>
      <c r="T8" s="7">
        <v>0</v>
      </c>
      <c r="U8" s="17">
        <v>0</v>
      </c>
    </row>
    <row r="9" spans="1:21">
      <c r="A9" t="s">
        <v>3</v>
      </c>
      <c r="B9" s="10">
        <v>0</v>
      </c>
      <c r="C9" s="7">
        <v>0</v>
      </c>
      <c r="D9" s="7">
        <v>281.51358249060559</v>
      </c>
      <c r="E9" s="7">
        <v>0</v>
      </c>
      <c r="F9" s="17">
        <f t="shared" si="0"/>
        <v>281.51358249060559</v>
      </c>
      <c r="H9" s="4"/>
      <c r="I9" s="13"/>
      <c r="K9" s="10">
        <v>8231</v>
      </c>
      <c r="L9" s="7">
        <v>0</v>
      </c>
      <c r="M9" s="7"/>
      <c r="N9" s="7">
        <v>0</v>
      </c>
      <c r="O9" s="7">
        <v>0</v>
      </c>
      <c r="P9" s="7"/>
      <c r="Q9" s="7">
        <v>3987</v>
      </c>
      <c r="R9" s="7">
        <v>0</v>
      </c>
      <c r="S9" s="7"/>
      <c r="T9" s="7">
        <v>0</v>
      </c>
      <c r="U9" s="17">
        <v>0</v>
      </c>
    </row>
    <row r="10" spans="1:21">
      <c r="A10" t="s">
        <v>4</v>
      </c>
      <c r="B10" s="10">
        <v>0</v>
      </c>
      <c r="C10" s="7">
        <v>0</v>
      </c>
      <c r="D10" s="7">
        <v>0</v>
      </c>
      <c r="E10" s="7">
        <v>0</v>
      </c>
      <c r="F10" s="17">
        <f t="shared" si="0"/>
        <v>0</v>
      </c>
      <c r="H10" s="4" t="s">
        <v>65</v>
      </c>
      <c r="I10" s="14">
        <v>1978001</v>
      </c>
      <c r="K10" s="10">
        <v>0</v>
      </c>
      <c r="L10" s="7">
        <v>0</v>
      </c>
      <c r="M10" s="7"/>
      <c r="N10" s="7">
        <v>0</v>
      </c>
      <c r="O10" s="7">
        <v>1700000</v>
      </c>
      <c r="P10" s="7"/>
      <c r="Q10" s="7">
        <v>0</v>
      </c>
      <c r="R10" s="7">
        <v>0</v>
      </c>
      <c r="S10" s="7"/>
      <c r="T10" s="7">
        <v>0</v>
      </c>
      <c r="U10" s="17">
        <v>0</v>
      </c>
    </row>
    <row r="11" spans="1:21">
      <c r="A11" t="s">
        <v>5</v>
      </c>
      <c r="B11" s="10">
        <v>0</v>
      </c>
      <c r="C11" s="7">
        <v>0</v>
      </c>
      <c r="D11" s="7">
        <v>1411.5355037939826</v>
      </c>
      <c r="E11" s="7">
        <v>0</v>
      </c>
      <c r="F11" s="17">
        <f t="shared" si="0"/>
        <v>1411.5355037939826</v>
      </c>
      <c r="H11" s="4"/>
      <c r="I11" s="14"/>
      <c r="K11" s="10">
        <v>0</v>
      </c>
      <c r="L11" s="7">
        <v>0</v>
      </c>
      <c r="M11" s="7"/>
      <c r="N11" s="7">
        <v>0</v>
      </c>
      <c r="O11" s="7">
        <v>0</v>
      </c>
      <c r="P11" s="7"/>
      <c r="Q11" s="7">
        <v>26200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798.32023401403785</v>
      </c>
      <c r="E13" s="7">
        <v>0</v>
      </c>
      <c r="F13" s="17">
        <f t="shared" si="0"/>
        <v>798.32023401403785</v>
      </c>
      <c r="H13" s="4" t="s">
        <v>67</v>
      </c>
      <c r="I13" s="14">
        <v>1978001</v>
      </c>
      <c r="K13" s="10">
        <v>0</v>
      </c>
      <c r="L13" s="7">
        <v>0</v>
      </c>
      <c r="M13" s="7"/>
      <c r="N13" s="7">
        <v>0</v>
      </c>
      <c r="O13" s="7">
        <v>0</v>
      </c>
      <c r="P13" s="7"/>
      <c r="Q13" s="7">
        <v>10000</v>
      </c>
      <c r="R13" s="7">
        <v>0</v>
      </c>
      <c r="S13" s="7"/>
      <c r="T13" s="7">
        <v>0</v>
      </c>
      <c r="U13" s="17">
        <v>0</v>
      </c>
    </row>
    <row r="14" spans="1:21">
      <c r="A14" t="s">
        <v>8</v>
      </c>
      <c r="B14" s="10">
        <v>0</v>
      </c>
      <c r="C14" s="7">
        <v>0</v>
      </c>
      <c r="D14" s="7">
        <v>0</v>
      </c>
      <c r="E14" s="7">
        <v>0</v>
      </c>
      <c r="F14" s="17">
        <f t="shared" si="0"/>
        <v>0</v>
      </c>
      <c r="H14" s="4" t="s">
        <v>68</v>
      </c>
      <c r="I14" s="14">
        <v>305426</v>
      </c>
      <c r="K14" s="10"/>
      <c r="L14" s="7"/>
      <c r="M14" s="7"/>
      <c r="N14" s="7"/>
      <c r="O14" s="7"/>
      <c r="P14" s="7"/>
      <c r="Q14" s="7"/>
      <c r="R14" s="7"/>
      <c r="S14" s="7"/>
      <c r="T14" s="7"/>
      <c r="U14" s="17"/>
    </row>
    <row r="15" spans="1:21">
      <c r="A15" t="s">
        <v>9</v>
      </c>
      <c r="B15" s="10">
        <v>0</v>
      </c>
      <c r="C15" s="7">
        <v>0</v>
      </c>
      <c r="D15" s="7">
        <v>112632.63745793863</v>
      </c>
      <c r="E15" s="7">
        <v>0</v>
      </c>
      <c r="F15" s="17">
        <f t="shared" si="0"/>
        <v>112632.63745793863</v>
      </c>
      <c r="H15" s="4" t="s">
        <v>69</v>
      </c>
      <c r="I15" s="14">
        <v>317525.36000000004</v>
      </c>
      <c r="K15" s="10"/>
      <c r="L15" s="7"/>
      <c r="M15" s="7"/>
      <c r="N15" s="7"/>
      <c r="O15" s="7"/>
      <c r="P15" s="7"/>
      <c r="Q15" s="7"/>
      <c r="R15" s="7"/>
      <c r="S15" s="7"/>
      <c r="T15" s="7"/>
      <c r="U15" s="17"/>
    </row>
    <row r="16" spans="1:21">
      <c r="A16" t="s">
        <v>10</v>
      </c>
      <c r="B16" s="10">
        <v>0</v>
      </c>
      <c r="C16" s="7">
        <v>0</v>
      </c>
      <c r="D16" s="7">
        <v>20640.674292257696</v>
      </c>
      <c r="E16" s="7">
        <v>0</v>
      </c>
      <c r="F16" s="17">
        <f t="shared" si="0"/>
        <v>20640.674292257696</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3443.3558031770444</v>
      </c>
      <c r="E18" s="7">
        <v>0</v>
      </c>
      <c r="F18" s="17">
        <f t="shared" si="0"/>
        <v>3443.3558031770444</v>
      </c>
      <c r="H18" s="4" t="s">
        <v>71</v>
      </c>
      <c r="I18" s="14"/>
      <c r="K18" s="10">
        <v>0</v>
      </c>
      <c r="L18" s="7">
        <v>0</v>
      </c>
      <c r="M18" s="7"/>
      <c r="N18" s="7">
        <v>0</v>
      </c>
      <c r="O18" s="7">
        <v>0</v>
      </c>
      <c r="P18" s="7"/>
      <c r="Q18" s="7">
        <v>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8376.2106397317257</v>
      </c>
      <c r="E20" s="7">
        <v>0</v>
      </c>
      <c r="F20" s="17">
        <f t="shared" si="0"/>
        <v>8376.2106397317257</v>
      </c>
      <c r="H20" s="4" t="s">
        <v>73</v>
      </c>
      <c r="I20" s="14">
        <v>1978001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1157.7604642667029</v>
      </c>
      <c r="E23" s="7">
        <v>0</v>
      </c>
      <c r="F23" s="17">
        <f t="shared" si="0"/>
        <v>1157.7604642667029</v>
      </c>
      <c r="H23" s="4" t="s">
        <v>76</v>
      </c>
      <c r="I23" s="14"/>
      <c r="K23" s="10"/>
      <c r="L23" s="7"/>
      <c r="M23" s="7"/>
      <c r="N23" s="7"/>
      <c r="O23" s="7"/>
      <c r="P23" s="7"/>
      <c r="Q23" s="7"/>
      <c r="R23" s="7"/>
      <c r="S23" s="7"/>
      <c r="T23" s="7"/>
      <c r="U23" s="17"/>
    </row>
    <row r="24" spans="1:21">
      <c r="A24" t="s">
        <v>18</v>
      </c>
      <c r="B24" s="10">
        <v>0</v>
      </c>
      <c r="C24" s="7">
        <v>0</v>
      </c>
      <c r="D24" s="7">
        <v>14997.376019607676</v>
      </c>
      <c r="E24" s="7">
        <v>0</v>
      </c>
      <c r="F24" s="17">
        <f t="shared" si="0"/>
        <v>14997.376019607676</v>
      </c>
      <c r="H24" s="4" t="s">
        <v>77</v>
      </c>
      <c r="I24" s="14">
        <v>2373299</v>
      </c>
      <c r="K24" s="10">
        <v>0</v>
      </c>
      <c r="L24" s="7">
        <v>0</v>
      </c>
      <c r="M24" s="7"/>
      <c r="N24" s="7">
        <v>0</v>
      </c>
      <c r="O24" s="7">
        <v>0</v>
      </c>
      <c r="P24" s="7"/>
      <c r="Q24" s="7">
        <v>85000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-1320.897118939778</v>
      </c>
      <c r="E26" s="7">
        <v>0</v>
      </c>
      <c r="F26" s="17">
        <f t="shared" si="0"/>
        <v>-1320.897118939778</v>
      </c>
      <c r="H26" s="4" t="s">
        <v>78</v>
      </c>
      <c r="I26" s="14">
        <f>SUM(I10:I16)-SUM(I19:I24)</f>
        <v>227653.36000000034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227653.36000000004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2594.006497084687</v>
      </c>
      <c r="E30" s="7">
        <v>0</v>
      </c>
      <c r="F30" s="17">
        <f t="shared" si="0"/>
        <v>2594.006497084687</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897.20894877201772</v>
      </c>
      <c r="E32" s="7">
        <v>0</v>
      </c>
      <c r="F32" s="17">
        <f t="shared" si="0"/>
        <v>897.20894877201772</v>
      </c>
      <c r="K32" s="10"/>
      <c r="L32" s="7"/>
      <c r="M32" s="7"/>
      <c r="N32" s="7"/>
      <c r="O32" s="7"/>
      <c r="P32" s="7"/>
      <c r="Q32" s="7"/>
      <c r="R32" s="7"/>
      <c r="S32" s="7"/>
      <c r="T32" s="7"/>
      <c r="U32" s="17"/>
    </row>
    <row r="33" spans="1:21">
      <c r="A33" t="s">
        <v>27</v>
      </c>
      <c r="B33" s="10">
        <v>0</v>
      </c>
      <c r="C33" s="7">
        <v>0</v>
      </c>
      <c r="D33" s="7">
        <v>170</v>
      </c>
      <c r="E33" s="7">
        <v>0</v>
      </c>
      <c r="F33" s="17">
        <f t="shared" si="0"/>
        <v>170</v>
      </c>
      <c r="K33" s="10"/>
      <c r="L33" s="7"/>
      <c r="M33" s="7"/>
      <c r="N33" s="7"/>
      <c r="O33" s="7"/>
      <c r="P33" s="7"/>
      <c r="Q33" s="7"/>
      <c r="R33" s="7"/>
      <c r="S33" s="7"/>
      <c r="T33" s="7"/>
      <c r="U33" s="17"/>
    </row>
    <row r="34" spans="1:21">
      <c r="A34" t="s">
        <v>28</v>
      </c>
      <c r="B34" s="10">
        <v>0</v>
      </c>
      <c r="C34" s="7">
        <v>0</v>
      </c>
      <c r="D34" s="7">
        <v>460.65290781956128</v>
      </c>
      <c r="E34" s="7">
        <v>0</v>
      </c>
      <c r="F34" s="17">
        <f t="shared" si="0"/>
        <v>460.65290781956128</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2954.1260888745746</v>
      </c>
      <c r="E37" s="7">
        <v>0</v>
      </c>
      <c r="F37" s="17">
        <f t="shared" si="0"/>
        <v>2954.1260888745746</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324.44753095675878</v>
      </c>
      <c r="E40" s="7">
        <v>0</v>
      </c>
      <c r="F40" s="17">
        <f t="shared" si="1"/>
        <v>324.44753095675878</v>
      </c>
      <c r="K40" s="10"/>
      <c r="L40" s="7"/>
      <c r="M40" s="7"/>
      <c r="N40" s="7"/>
      <c r="O40" s="7"/>
      <c r="P40" s="7"/>
      <c r="Q40" s="7"/>
      <c r="R40" s="7"/>
      <c r="S40" s="7"/>
      <c r="T40" s="7"/>
      <c r="U40" s="17"/>
    </row>
    <row r="41" spans="1:21">
      <c r="A41" t="s">
        <v>35</v>
      </c>
      <c r="B41" s="10">
        <v>0</v>
      </c>
      <c r="C41" s="7">
        <v>0</v>
      </c>
      <c r="D41" s="7">
        <v>1160.4146324496305</v>
      </c>
      <c r="E41" s="7">
        <v>0</v>
      </c>
      <c r="F41" s="17">
        <f t="shared" si="1"/>
        <v>1160.4146324496305</v>
      </c>
      <c r="K41" s="10"/>
      <c r="L41" s="7"/>
      <c r="M41" s="7"/>
      <c r="N41" s="7"/>
      <c r="O41" s="7"/>
      <c r="P41" s="7"/>
      <c r="Q41" s="7"/>
      <c r="R41" s="7"/>
      <c r="S41" s="7"/>
      <c r="T41" s="7"/>
      <c r="U41" s="17"/>
    </row>
    <row r="42" spans="1:21">
      <c r="A42" t="s">
        <v>36</v>
      </c>
      <c r="B42" s="10">
        <v>0</v>
      </c>
      <c r="C42" s="7">
        <v>0</v>
      </c>
      <c r="D42" s="7">
        <v>1000.5055374188378</v>
      </c>
      <c r="E42" s="7">
        <v>0</v>
      </c>
      <c r="F42" s="17">
        <f t="shared" si="1"/>
        <v>1000.5055374188378</v>
      </c>
      <c r="K42" s="10">
        <v>0</v>
      </c>
      <c r="L42" s="7">
        <v>0</v>
      </c>
      <c r="M42" s="7"/>
      <c r="N42" s="7">
        <v>0</v>
      </c>
      <c r="O42" s="7">
        <v>0</v>
      </c>
      <c r="P42" s="7"/>
      <c r="Q42" s="7">
        <v>0</v>
      </c>
      <c r="R42" s="7">
        <v>0</v>
      </c>
      <c r="S42" s="7"/>
      <c r="T42" s="7">
        <v>0</v>
      </c>
      <c r="U42" s="17">
        <v>0</v>
      </c>
    </row>
    <row r="43" spans="1:21">
      <c r="A43" t="s">
        <v>37</v>
      </c>
      <c r="B43" s="10">
        <v>0</v>
      </c>
      <c r="C43" s="7">
        <v>0</v>
      </c>
      <c r="D43" s="7">
        <v>1408.0006659248393</v>
      </c>
      <c r="E43" s="7">
        <v>0</v>
      </c>
      <c r="F43" s="17">
        <f t="shared" si="1"/>
        <v>1408.0006659248393</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843.60165991827125</v>
      </c>
      <c r="E47" s="7">
        <v>0</v>
      </c>
      <c r="F47" s="17">
        <f t="shared" si="1"/>
        <v>843.60165991827125</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1229.1719885075909</v>
      </c>
      <c r="E49" s="7">
        <v>0</v>
      </c>
      <c r="F49" s="17">
        <f t="shared" si="1"/>
        <v>1229.1719885075909</v>
      </c>
      <c r="K49" s="10"/>
      <c r="L49" s="7"/>
      <c r="M49" s="7"/>
      <c r="N49" s="7"/>
      <c r="O49" s="7"/>
      <c r="P49" s="7"/>
      <c r="Q49" s="7"/>
      <c r="R49" s="7"/>
      <c r="S49" s="7"/>
      <c r="T49" s="7"/>
      <c r="U49" s="17"/>
    </row>
    <row r="50" spans="1:21">
      <c r="A50" t="s">
        <v>44</v>
      </c>
      <c r="B50" s="10">
        <v>0</v>
      </c>
      <c r="C50" s="7">
        <v>0</v>
      </c>
      <c r="D50" s="7">
        <v>6188.1823904639168</v>
      </c>
      <c r="E50" s="7">
        <v>0</v>
      </c>
      <c r="F50" s="17">
        <f t="shared" si="1"/>
        <v>6188.1823904639168</v>
      </c>
      <c r="K50" s="10">
        <v>0</v>
      </c>
      <c r="L50" s="7">
        <v>500000</v>
      </c>
      <c r="M50" s="7"/>
      <c r="N50" s="7">
        <v>0</v>
      </c>
      <c r="O50" s="7">
        <v>0</v>
      </c>
      <c r="P50" s="7"/>
      <c r="Q50" s="7">
        <v>67009</v>
      </c>
      <c r="R50" s="7">
        <v>116294</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v>0</v>
      </c>
      <c r="L53" s="7">
        <v>0</v>
      </c>
      <c r="M53" s="7"/>
      <c r="N53" s="7">
        <v>0</v>
      </c>
      <c r="O53" s="7">
        <v>0</v>
      </c>
      <c r="P53" s="7"/>
      <c r="Q53" s="7">
        <v>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619.24014936291769</v>
      </c>
      <c r="E57" s="7">
        <v>0</v>
      </c>
      <c r="F57" s="17">
        <f t="shared" si="1"/>
        <v>619.24014936291769</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227653.36000000004</v>
      </c>
      <c r="E60" s="7">
        <f>SUM(E6:E58)</f>
        <v>0</v>
      </c>
      <c r="F60" s="17">
        <f>SUM(F6:F58)</f>
        <v>227653.36000000004</v>
      </c>
      <c r="K60" s="10">
        <f>SUM(K6:K58)</f>
        <v>8231</v>
      </c>
      <c r="L60" s="7">
        <f>SUM(L6:L58)</f>
        <v>500000</v>
      </c>
      <c r="M60" s="7"/>
      <c r="N60" s="7">
        <f>SUM(N6:N58)</f>
        <v>0</v>
      </c>
      <c r="O60" s="7">
        <f>SUM(O6:O58)</f>
        <v>1700000</v>
      </c>
      <c r="P60" s="7"/>
      <c r="Q60" s="7">
        <f>SUM(Q6:Q58)</f>
        <v>192196</v>
      </c>
      <c r="R60" s="7">
        <f>SUM(R6:R58)</f>
        <v>116294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Italic"First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92273.267316088692</v>
      </c>
      <c r="C6" s="7">
        <v>800705.20950338454</v>
      </c>
      <c r="D6" s="7">
        <v>0</v>
      </c>
      <c r="E6" s="7">
        <v>0</v>
      </c>
      <c r="F6" s="17">
        <f t="shared" ref="F6:F37" si="0">SUM(B6:E6)</f>
        <v>892978.4768194732</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160534.94571214035</v>
      </c>
      <c r="C8" s="7">
        <v>1522033.2297348259</v>
      </c>
      <c r="D8" s="7">
        <v>0</v>
      </c>
      <c r="E8" s="7">
        <v>0</v>
      </c>
      <c r="F8" s="17">
        <f t="shared" si="0"/>
        <v>1682568.1754469662</v>
      </c>
      <c r="H8" s="4" t="s">
        <v>64</v>
      </c>
      <c r="I8" s="13"/>
      <c r="K8" s="10"/>
      <c r="L8" s="7"/>
      <c r="M8" s="7"/>
      <c r="N8" s="7"/>
      <c r="O8" s="7"/>
      <c r="P8" s="7"/>
      <c r="Q8" s="7"/>
      <c r="R8" s="7"/>
      <c r="S8" s="7"/>
      <c r="T8" s="7"/>
      <c r="U8" s="17"/>
    </row>
    <row r="9" spans="1:21">
      <c r="A9" t="s">
        <v>3</v>
      </c>
      <c r="B9" s="10">
        <v>51331.371193325562</v>
      </c>
      <c r="C9" s="7">
        <v>439988.12063770724</v>
      </c>
      <c r="D9" s="7">
        <v>0</v>
      </c>
      <c r="E9" s="7">
        <v>0</v>
      </c>
      <c r="F9" s="17">
        <f t="shared" si="0"/>
        <v>491319.49183103279</v>
      </c>
      <c r="H9" s="4"/>
      <c r="I9" s="13"/>
      <c r="K9" s="10">
        <v>1037480</v>
      </c>
      <c r="L9" s="7">
        <v>0</v>
      </c>
      <c r="M9" s="7"/>
      <c r="N9" s="7">
        <v>0</v>
      </c>
      <c r="O9" s="7">
        <v>0</v>
      </c>
      <c r="P9" s="7"/>
      <c r="Q9" s="7">
        <v>0</v>
      </c>
      <c r="R9" s="7">
        <v>0</v>
      </c>
      <c r="S9" s="7"/>
      <c r="T9" s="7">
        <v>0</v>
      </c>
      <c r="U9" s="17">
        <v>0</v>
      </c>
    </row>
    <row r="10" spans="1:21">
      <c r="A10" t="s">
        <v>4</v>
      </c>
      <c r="B10" s="10">
        <v>147672.19083943631</v>
      </c>
      <c r="C10" s="7">
        <v>1850145.3435889948</v>
      </c>
      <c r="D10" s="7">
        <v>0</v>
      </c>
      <c r="E10" s="7">
        <v>0</v>
      </c>
      <c r="F10" s="17">
        <f t="shared" si="0"/>
        <v>1997817.5344284312</v>
      </c>
      <c r="H10" s="4" t="s">
        <v>65</v>
      </c>
      <c r="I10" s="14">
        <v>83300829</v>
      </c>
      <c r="K10" s="10">
        <v>712800</v>
      </c>
      <c r="L10" s="7">
        <v>0</v>
      </c>
      <c r="M10" s="7"/>
      <c r="N10" s="7">
        <v>5287200</v>
      </c>
      <c r="O10" s="7">
        <v>0</v>
      </c>
      <c r="P10" s="7"/>
      <c r="Q10" s="7">
        <v>0</v>
      </c>
      <c r="R10" s="7">
        <v>0</v>
      </c>
      <c r="S10" s="7"/>
      <c r="T10" s="7">
        <v>0</v>
      </c>
      <c r="U10" s="17">
        <v>0</v>
      </c>
    </row>
    <row r="11" spans="1:21">
      <c r="A11" t="s">
        <v>5</v>
      </c>
      <c r="B11" s="10">
        <v>40880.542526344041</v>
      </c>
      <c r="C11" s="7">
        <v>499484.9901396397</v>
      </c>
      <c r="D11" s="7">
        <v>0</v>
      </c>
      <c r="E11" s="7">
        <v>0</v>
      </c>
      <c r="F11" s="17">
        <f t="shared" si="0"/>
        <v>540365.53266598377</v>
      </c>
      <c r="H11" s="4"/>
      <c r="I11" s="14"/>
      <c r="K11" s="10">
        <v>623455</v>
      </c>
      <c r="L11" s="7">
        <v>0</v>
      </c>
      <c r="M11" s="7"/>
      <c r="N11" s="7">
        <v>935184</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3915.5599641708723</v>
      </c>
      <c r="C13" s="7">
        <v>9273.2003541850354</v>
      </c>
      <c r="D13" s="7">
        <v>0</v>
      </c>
      <c r="E13" s="7">
        <v>0</v>
      </c>
      <c r="F13" s="17">
        <f t="shared" si="0"/>
        <v>13188.760318355908</v>
      </c>
      <c r="H13" s="4" t="s">
        <v>67</v>
      </c>
      <c r="I13" s="14">
        <v>140795</v>
      </c>
      <c r="K13" s="10">
        <v>45000</v>
      </c>
      <c r="L13" s="7">
        <v>0</v>
      </c>
      <c r="M13" s="7"/>
      <c r="N13" s="7">
        <v>55000</v>
      </c>
      <c r="O13" s="7">
        <v>0</v>
      </c>
      <c r="P13" s="7"/>
      <c r="Q13" s="7">
        <v>0</v>
      </c>
      <c r="R13" s="7">
        <v>0</v>
      </c>
      <c r="S13" s="7"/>
      <c r="T13" s="7">
        <v>0</v>
      </c>
      <c r="U13" s="17">
        <v>0</v>
      </c>
    </row>
    <row r="14" spans="1:21">
      <c r="A14" t="s">
        <v>8</v>
      </c>
      <c r="B14" s="10">
        <v>23284.040684914398</v>
      </c>
      <c r="C14" s="7">
        <v>194834.00009338325</v>
      </c>
      <c r="D14" s="7">
        <v>0</v>
      </c>
      <c r="E14" s="7">
        <v>0</v>
      </c>
      <c r="F14" s="17">
        <f t="shared" si="0"/>
        <v>218118.04077829764</v>
      </c>
      <c r="H14" s="4" t="s">
        <v>68</v>
      </c>
      <c r="I14" s="14">
        <v>1545709.0000000002</v>
      </c>
      <c r="K14" s="10">
        <v>121500</v>
      </c>
      <c r="L14" s="7">
        <v>74219</v>
      </c>
      <c r="M14" s="7"/>
      <c r="N14" s="7">
        <v>536500</v>
      </c>
      <c r="O14" s="7">
        <v>397781</v>
      </c>
      <c r="P14" s="7"/>
      <c r="Q14" s="7">
        <v>0</v>
      </c>
      <c r="R14" s="7">
        <v>0</v>
      </c>
      <c r="S14" s="7"/>
      <c r="T14" s="7">
        <v>0</v>
      </c>
      <c r="U14" s="17">
        <v>0</v>
      </c>
    </row>
    <row r="15" spans="1:21">
      <c r="A15" t="s">
        <v>9</v>
      </c>
      <c r="B15" s="10">
        <v>227235.03393754509</v>
      </c>
      <c r="C15" s="7">
        <v>2371207.6792257503</v>
      </c>
      <c r="D15" s="7">
        <v>0</v>
      </c>
      <c r="E15" s="7">
        <v>0</v>
      </c>
      <c r="F15" s="17">
        <f t="shared" si="0"/>
        <v>2598442.7131632953</v>
      </c>
      <c r="H15" s="4" t="s">
        <v>69</v>
      </c>
      <c r="I15" s="14">
        <v>2173712.9727571663</v>
      </c>
      <c r="K15" s="10"/>
      <c r="L15" s="7"/>
      <c r="M15" s="7"/>
      <c r="N15" s="7"/>
      <c r="O15" s="7"/>
      <c r="P15" s="7"/>
      <c r="Q15" s="7"/>
      <c r="R15" s="7"/>
      <c r="S15" s="7"/>
      <c r="T15" s="7"/>
      <c r="U15" s="17"/>
    </row>
    <row r="16" spans="1:21">
      <c r="A16" t="s">
        <v>10</v>
      </c>
      <c r="B16" s="10">
        <v>188676.9764152891</v>
      </c>
      <c r="C16" s="7">
        <v>1521440.5826541209</v>
      </c>
      <c r="D16" s="7">
        <v>0</v>
      </c>
      <c r="E16" s="7">
        <v>0</v>
      </c>
      <c r="F16" s="17">
        <f t="shared" si="0"/>
        <v>1710117.55906941</v>
      </c>
      <c r="H16" s="4" t="s">
        <v>70</v>
      </c>
      <c r="I16" s="14">
        <v>0</v>
      </c>
      <c r="K16" s="10"/>
      <c r="L16" s="7"/>
      <c r="M16" s="7"/>
      <c r="N16" s="7"/>
      <c r="O16" s="7"/>
      <c r="P16" s="7"/>
      <c r="Q16" s="7"/>
      <c r="R16" s="7"/>
      <c r="S16" s="7"/>
      <c r="T16" s="7"/>
      <c r="U16" s="17"/>
    </row>
    <row r="17" spans="1:21">
      <c r="A17" t="s">
        <v>11</v>
      </c>
      <c r="B17" s="10">
        <v>23058.570561172353</v>
      </c>
      <c r="C17" s="7">
        <v>230734.18979865266</v>
      </c>
      <c r="D17" s="7">
        <v>0</v>
      </c>
      <c r="E17" s="7">
        <v>0</v>
      </c>
      <c r="F17" s="17">
        <f t="shared" si="0"/>
        <v>253792.76035982501</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89365.09091685593</v>
      </c>
      <c r="C19" s="7">
        <v>832791.27572161891</v>
      </c>
      <c r="D19" s="7">
        <v>0</v>
      </c>
      <c r="E19" s="7">
        <v>0</v>
      </c>
      <c r="F19" s="17">
        <f t="shared" si="0"/>
        <v>922156.36663847486</v>
      </c>
      <c r="H19" s="4" t="s">
        <v>72</v>
      </c>
      <c r="I19" s="14">
        <v>0</v>
      </c>
      <c r="K19" s="10">
        <v>500000</v>
      </c>
      <c r="L19" s="7">
        <v>150000</v>
      </c>
      <c r="M19" s="7"/>
      <c r="N19" s="7">
        <v>2300000</v>
      </c>
      <c r="O19" s="7">
        <v>1300000</v>
      </c>
      <c r="P19" s="7"/>
      <c r="Q19" s="7">
        <v>0</v>
      </c>
      <c r="R19" s="7">
        <v>0</v>
      </c>
      <c r="S19" s="7"/>
      <c r="T19" s="7">
        <v>0</v>
      </c>
      <c r="U19" s="17">
        <v>0</v>
      </c>
    </row>
    <row r="20" spans="1:21">
      <c r="A20" t="s">
        <v>14</v>
      </c>
      <c r="B20" s="10">
        <v>0</v>
      </c>
      <c r="C20" s="7">
        <v>0</v>
      </c>
      <c r="D20" s="7">
        <v>0</v>
      </c>
      <c r="E20" s="7">
        <v>0</v>
      </c>
      <c r="F20" s="17">
        <f t="shared" si="0"/>
        <v>0</v>
      </c>
      <c r="H20" s="4" t="s">
        <v>73</v>
      </c>
      <c r="I20" s="14">
        <v>-5957549.9999999991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43976.197796691908</v>
      </c>
      <c r="C22" s="7">
        <v>493701.87571376888</v>
      </c>
      <c r="D22" s="7">
        <v>0</v>
      </c>
      <c r="E22" s="7">
        <v>0</v>
      </c>
      <c r="F22" s="17">
        <f t="shared" si="0"/>
        <v>537678.07351046079</v>
      </c>
      <c r="H22" s="4" t="s">
        <v>75</v>
      </c>
      <c r="I22" s="14">
        <v>20181741</v>
      </c>
      <c r="K22" s="10"/>
      <c r="L22" s="7"/>
      <c r="M22" s="7"/>
      <c r="N22" s="7"/>
      <c r="O22" s="7"/>
      <c r="P22" s="7"/>
      <c r="Q22" s="7"/>
      <c r="R22" s="7"/>
      <c r="S22" s="7"/>
      <c r="T22" s="7"/>
      <c r="U22" s="17"/>
    </row>
    <row r="23" spans="1:21">
      <c r="A23" t="s">
        <v>17</v>
      </c>
      <c r="B23" s="10">
        <v>27689.311548429047</v>
      </c>
      <c r="C23" s="7">
        <v>155390.06064397178</v>
      </c>
      <c r="D23" s="7">
        <v>0</v>
      </c>
      <c r="E23" s="7">
        <v>0</v>
      </c>
      <c r="F23" s="17">
        <f t="shared" si="0"/>
        <v>183079.37219240083</v>
      </c>
      <c r="H23" s="4" t="s">
        <v>76</v>
      </c>
      <c r="I23" s="14"/>
      <c r="K23" s="10">
        <v>525000</v>
      </c>
      <c r="L23" s="7">
        <v>0</v>
      </c>
      <c r="M23" s="7"/>
      <c r="N23" s="7">
        <v>15000</v>
      </c>
      <c r="O23" s="7">
        <v>0</v>
      </c>
      <c r="P23" s="7"/>
      <c r="Q23" s="7">
        <v>0</v>
      </c>
      <c r="R23" s="7">
        <v>0</v>
      </c>
      <c r="S23" s="7"/>
      <c r="T23" s="7">
        <v>0</v>
      </c>
      <c r="U23" s="17">
        <v>0</v>
      </c>
    </row>
    <row r="24" spans="1:21">
      <c r="A24" t="s">
        <v>18</v>
      </c>
      <c r="B24" s="10">
        <v>32343.05940123515</v>
      </c>
      <c r="C24" s="7">
        <v>206926.96456305427</v>
      </c>
      <c r="D24" s="7">
        <v>0</v>
      </c>
      <c r="E24" s="7">
        <v>0</v>
      </c>
      <c r="F24" s="17">
        <f t="shared" si="0"/>
        <v>239270.0239642894</v>
      </c>
      <c r="H24" s="4" t="s">
        <v>77</v>
      </c>
      <c r="I24" s="14">
        <v>47851504.000000007</v>
      </c>
      <c r="K24" s="10">
        <v>743240</v>
      </c>
      <c r="L24" s="7">
        <v>0</v>
      </c>
      <c r="M24" s="7"/>
      <c r="N24" s="7">
        <v>2760</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99819.51580779333</v>
      </c>
      <c r="C26" s="7">
        <v>605237.32309844415</v>
      </c>
      <c r="D26" s="7">
        <v>0</v>
      </c>
      <c r="E26" s="7">
        <v>0</v>
      </c>
      <c r="F26" s="17">
        <f t="shared" si="0"/>
        <v>705056.83890623751</v>
      </c>
      <c r="H26" s="4" t="s">
        <v>78</v>
      </c>
      <c r="I26" s="14">
        <f>SUM(I10:I16)-SUM(I19:I24)</f>
        <v>25085350.972757153</v>
      </c>
      <c r="K26" s="10">
        <v>1666605</v>
      </c>
      <c r="L26" s="7">
        <v>0</v>
      </c>
      <c r="M26" s="7"/>
      <c r="N26" s="7">
        <v>365840</v>
      </c>
      <c r="O26" s="7">
        <v>0</v>
      </c>
      <c r="P26" s="7"/>
      <c r="Q26" s="7">
        <v>0</v>
      </c>
      <c r="R26" s="7">
        <v>0</v>
      </c>
      <c r="S26" s="7"/>
      <c r="T26" s="7">
        <v>0</v>
      </c>
      <c r="U26" s="17">
        <v>0</v>
      </c>
    </row>
    <row r="27" spans="1:21">
      <c r="A27" t="s">
        <v>21</v>
      </c>
      <c r="B27" s="10">
        <v>0</v>
      </c>
      <c r="C27" s="7">
        <v>0</v>
      </c>
      <c r="D27" s="7">
        <v>0</v>
      </c>
      <c r="E27" s="7">
        <v>0</v>
      </c>
      <c r="F27" s="17">
        <f t="shared" si="0"/>
        <v>0</v>
      </c>
      <c r="H27" s="4" t="s">
        <v>79</v>
      </c>
      <c r="I27" s="14">
        <f>+F60</f>
        <v>25085350.972757164</v>
      </c>
      <c r="K27" s="10"/>
      <c r="L27" s="7"/>
      <c r="M27" s="7"/>
      <c r="N27" s="7"/>
      <c r="O27" s="7"/>
      <c r="P27" s="7"/>
      <c r="Q27" s="7"/>
      <c r="R27" s="7"/>
      <c r="S27" s="7"/>
      <c r="T27" s="7"/>
      <c r="U27" s="17"/>
    </row>
    <row r="28" spans="1:21">
      <c r="A28" t="s">
        <v>22</v>
      </c>
      <c r="B28" s="10">
        <v>46108.540402437357</v>
      </c>
      <c r="C28" s="7">
        <v>353307.04954791209</v>
      </c>
      <c r="D28" s="7">
        <v>0</v>
      </c>
      <c r="E28" s="7">
        <v>0</v>
      </c>
      <c r="F28" s="17">
        <f t="shared" si="0"/>
        <v>399415.58995034941</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265403.60485948785</v>
      </c>
      <c r="C30" s="7">
        <v>1708952.8630666994</v>
      </c>
      <c r="D30" s="7">
        <v>0</v>
      </c>
      <c r="E30" s="7">
        <v>0</v>
      </c>
      <c r="F30" s="17">
        <f t="shared" si="0"/>
        <v>1974356.4679261872</v>
      </c>
      <c r="K30" s="10"/>
      <c r="L30" s="7"/>
      <c r="M30" s="7"/>
      <c r="N30" s="7"/>
      <c r="O30" s="7"/>
      <c r="P30" s="7"/>
      <c r="Q30" s="7"/>
      <c r="R30" s="7"/>
      <c r="S30" s="7"/>
      <c r="T30" s="7"/>
      <c r="U30" s="17"/>
    </row>
    <row r="31" spans="1:21">
      <c r="A31" t="s">
        <v>25</v>
      </c>
      <c r="B31" s="10">
        <v>91301.543096171023</v>
      </c>
      <c r="C31" s="7">
        <v>1238673.0781802488</v>
      </c>
      <c r="D31" s="7">
        <v>0</v>
      </c>
      <c r="E31" s="7">
        <v>0</v>
      </c>
      <c r="F31" s="17">
        <f t="shared" si="0"/>
        <v>1329974.6212764198</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11098.586236063031</v>
      </c>
      <c r="C33" s="7">
        <v>69363.082814663299</v>
      </c>
      <c r="D33" s="7">
        <v>0</v>
      </c>
      <c r="E33" s="7">
        <v>0</v>
      </c>
      <c r="F33" s="17">
        <f t="shared" si="0"/>
        <v>80461.669050726327</v>
      </c>
      <c r="K33" s="10"/>
      <c r="L33" s="7"/>
      <c r="M33" s="7"/>
      <c r="N33" s="7"/>
      <c r="O33" s="7"/>
      <c r="P33" s="7"/>
      <c r="Q33" s="7"/>
      <c r="R33" s="7"/>
      <c r="S33" s="7"/>
      <c r="T33" s="7"/>
      <c r="U33" s="17"/>
    </row>
    <row r="34" spans="1:21">
      <c r="A34" t="s">
        <v>28</v>
      </c>
      <c r="B34" s="10">
        <v>8300.4716878282488</v>
      </c>
      <c r="C34" s="7">
        <v>111004.66735732873</v>
      </c>
      <c r="D34" s="7">
        <v>0</v>
      </c>
      <c r="E34" s="7">
        <v>0</v>
      </c>
      <c r="F34" s="17">
        <f t="shared" si="0"/>
        <v>119305.13904515698</v>
      </c>
      <c r="K34" s="10">
        <v>235000</v>
      </c>
      <c r="L34" s="7">
        <v>0</v>
      </c>
      <c r="M34" s="7"/>
      <c r="N34" s="7">
        <v>111000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55011.677370271304</v>
      </c>
      <c r="C37" s="7">
        <v>365097.48433163634</v>
      </c>
      <c r="D37" s="7">
        <v>0</v>
      </c>
      <c r="E37" s="7">
        <v>0</v>
      </c>
      <c r="F37" s="17">
        <f t="shared" si="0"/>
        <v>420109.16170190764</v>
      </c>
      <c r="K37" s="10">
        <v>64817</v>
      </c>
      <c r="L37" s="7">
        <v>0</v>
      </c>
      <c r="M37" s="7"/>
      <c r="N37" s="7">
        <v>239890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124175.74697437155</v>
      </c>
      <c r="C39" s="7">
        <v>1308612.6715249321</v>
      </c>
      <c r="D39" s="7">
        <v>0</v>
      </c>
      <c r="E39" s="7">
        <v>0</v>
      </c>
      <c r="F39" s="17">
        <f t="shared" si="1"/>
        <v>1432788.4184993037</v>
      </c>
      <c r="K39" s="10">
        <v>1029000</v>
      </c>
      <c r="L39" s="7">
        <v>0</v>
      </c>
      <c r="M39" s="7"/>
      <c r="N39" s="7">
        <v>3871000</v>
      </c>
      <c r="O39" s="7">
        <v>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51325.362991901871</v>
      </c>
      <c r="C41" s="7">
        <v>204271.34499474271</v>
      </c>
      <c r="D41" s="7">
        <v>0</v>
      </c>
      <c r="E41" s="7">
        <v>0</v>
      </c>
      <c r="F41" s="17">
        <f t="shared" si="1"/>
        <v>255596.70798664459</v>
      </c>
      <c r="K41" s="10"/>
      <c r="L41" s="7"/>
      <c r="M41" s="7"/>
      <c r="N41" s="7"/>
      <c r="O41" s="7"/>
      <c r="P41" s="7"/>
      <c r="Q41" s="7"/>
      <c r="R41" s="7"/>
      <c r="S41" s="7"/>
      <c r="T41" s="7"/>
      <c r="U41" s="17"/>
    </row>
    <row r="42" spans="1:21">
      <c r="A42" t="s">
        <v>36</v>
      </c>
      <c r="B42" s="10">
        <v>56945.883231515676</v>
      </c>
      <c r="C42" s="7">
        <v>444755.33796735271</v>
      </c>
      <c r="D42" s="7">
        <v>0</v>
      </c>
      <c r="E42" s="7">
        <v>0</v>
      </c>
      <c r="F42" s="17">
        <f t="shared" si="1"/>
        <v>501701.22119886836</v>
      </c>
      <c r="K42" s="10">
        <v>1980000</v>
      </c>
      <c r="L42" s="7">
        <v>1445000</v>
      </c>
      <c r="M42" s="7"/>
      <c r="N42" s="7">
        <v>20000</v>
      </c>
      <c r="O42" s="7">
        <v>107500</v>
      </c>
      <c r="P42" s="7"/>
      <c r="Q42" s="7">
        <v>0</v>
      </c>
      <c r="R42" s="7">
        <v>0</v>
      </c>
      <c r="S42" s="7"/>
      <c r="T42" s="7">
        <v>0</v>
      </c>
      <c r="U42" s="17">
        <v>0</v>
      </c>
    </row>
    <row r="43" spans="1:21">
      <c r="A43" t="s">
        <v>37</v>
      </c>
      <c r="B43" s="10">
        <v>13030.356720520656</v>
      </c>
      <c r="C43" s="7">
        <v>96806.368057499873</v>
      </c>
      <c r="D43" s="7">
        <v>0</v>
      </c>
      <c r="E43" s="7">
        <v>0</v>
      </c>
      <c r="F43" s="17">
        <f t="shared" si="1"/>
        <v>109836.72477802052</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79425.370205639454</v>
      </c>
      <c r="C47" s="7">
        <v>631446.46720777173</v>
      </c>
      <c r="D47" s="7">
        <v>0</v>
      </c>
      <c r="E47" s="7">
        <v>0</v>
      </c>
      <c r="F47" s="17">
        <f t="shared" si="1"/>
        <v>710871.83741341112</v>
      </c>
      <c r="K47" s="10">
        <v>275000</v>
      </c>
      <c r="L47" s="7">
        <v>0</v>
      </c>
      <c r="M47" s="7"/>
      <c r="N47" s="7">
        <v>1925000</v>
      </c>
      <c r="O47" s="7">
        <v>0</v>
      </c>
      <c r="P47" s="7"/>
      <c r="Q47" s="7">
        <v>0</v>
      </c>
      <c r="R47" s="7">
        <v>0</v>
      </c>
      <c r="S47" s="7"/>
      <c r="T47" s="7">
        <v>0</v>
      </c>
      <c r="U47" s="17">
        <v>0</v>
      </c>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56126.008618983877</v>
      </c>
      <c r="C49" s="7">
        <v>634011.0196289348</v>
      </c>
      <c r="D49" s="7">
        <v>0</v>
      </c>
      <c r="E49" s="7">
        <v>0</v>
      </c>
      <c r="F49" s="17">
        <f t="shared" si="1"/>
        <v>690137.0282479187</v>
      </c>
      <c r="K49" s="10"/>
      <c r="L49" s="7"/>
      <c r="M49" s="7"/>
      <c r="N49" s="7"/>
      <c r="O49" s="7"/>
      <c r="P49" s="7"/>
      <c r="Q49" s="7"/>
      <c r="R49" s="7"/>
      <c r="S49" s="7"/>
      <c r="T49" s="7"/>
      <c r="U49" s="17"/>
    </row>
    <row r="50" spans="1:21">
      <c r="A50" t="s">
        <v>44</v>
      </c>
      <c r="B50" s="10">
        <v>201992.80368137913</v>
      </c>
      <c r="C50" s="7">
        <v>2249062.6433493234</v>
      </c>
      <c r="D50" s="7">
        <v>0</v>
      </c>
      <c r="E50" s="7">
        <v>0</v>
      </c>
      <c r="F50" s="17">
        <f t="shared" si="1"/>
        <v>2451055.4470307026</v>
      </c>
      <c r="K50" s="10">
        <v>7101306</v>
      </c>
      <c r="L50" s="7">
        <v>4000000</v>
      </c>
      <c r="M50" s="7"/>
      <c r="N50" s="7">
        <v>0</v>
      </c>
      <c r="O50" s="7">
        <v>0</v>
      </c>
      <c r="P50" s="7"/>
      <c r="Q50" s="7">
        <v>0</v>
      </c>
      <c r="R50" s="7">
        <v>0</v>
      </c>
      <c r="S50" s="7"/>
      <c r="T50" s="7">
        <v>0</v>
      </c>
      <c r="U50" s="17">
        <v>0</v>
      </c>
    </row>
    <row r="51" spans="1:21">
      <c r="A51" t="s">
        <v>45</v>
      </c>
      <c r="B51" s="10">
        <v>2316.691814040023</v>
      </c>
      <c r="C51" s="7">
        <v>11974.609437640553</v>
      </c>
      <c r="D51" s="7">
        <v>0</v>
      </c>
      <c r="E51" s="7">
        <v>0</v>
      </c>
      <c r="F51" s="17">
        <f t="shared" si="1"/>
        <v>14291.301251680576</v>
      </c>
      <c r="K51" s="10">
        <v>78950</v>
      </c>
      <c r="L51" s="7">
        <v>0</v>
      </c>
      <c r="M51" s="7"/>
      <c r="N51" s="7">
        <v>136050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151847.64812938997</v>
      </c>
      <c r="C53" s="7">
        <v>1147784.388615991</v>
      </c>
      <c r="D53" s="7">
        <v>0</v>
      </c>
      <c r="E53" s="7">
        <v>0</v>
      </c>
      <c r="F53" s="17">
        <f t="shared" si="1"/>
        <v>1299632.0367453811</v>
      </c>
      <c r="K53" s="10">
        <v>595000</v>
      </c>
      <c r="L53" s="7">
        <v>0</v>
      </c>
      <c r="M53" s="7"/>
      <c r="N53" s="7">
        <v>3125000</v>
      </c>
      <c r="O53" s="7">
        <v>0</v>
      </c>
      <c r="P53" s="7"/>
      <c r="Q53" s="7">
        <v>0</v>
      </c>
      <c r="R53" s="7">
        <v>0</v>
      </c>
      <c r="S53" s="7"/>
      <c r="T53" s="7">
        <v>0</v>
      </c>
      <c r="U53" s="17">
        <v>0</v>
      </c>
    </row>
    <row r="54" spans="1:21">
      <c r="A54" t="s">
        <v>48</v>
      </c>
      <c r="B54" s="10">
        <v>31241.864104983892</v>
      </c>
      <c r="C54" s="7">
        <v>278626.0164565685</v>
      </c>
      <c r="D54" s="7">
        <v>0</v>
      </c>
      <c r="E54" s="7">
        <v>0</v>
      </c>
      <c r="F54" s="17">
        <f t="shared" si="1"/>
        <v>309867.88056155236</v>
      </c>
      <c r="K54" s="10">
        <v>936000</v>
      </c>
      <c r="L54" s="7">
        <v>0</v>
      </c>
      <c r="M54" s="7"/>
      <c r="N54" s="7">
        <v>0</v>
      </c>
      <c r="O54" s="7">
        <v>0</v>
      </c>
      <c r="P54" s="7"/>
      <c r="Q54" s="7">
        <v>0</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2497707.8347464167</v>
      </c>
      <c r="C60" s="7">
        <f>SUM(C6:C58)</f>
        <v>22587643.138010748</v>
      </c>
      <c r="D60" s="7">
        <f>SUM(D6:D58)</f>
        <v>0</v>
      </c>
      <c r="E60" s="7">
        <f>SUM(E6:E58)</f>
        <v>0</v>
      </c>
      <c r="F60" s="17">
        <f>SUM(F6:F58)</f>
        <v>25085350.972757164</v>
      </c>
      <c r="K60" s="10">
        <f>SUM(K6:K58)</f>
        <v>18270153</v>
      </c>
      <c r="L60" s="7">
        <f>SUM(L6:L58)</f>
        <v>5669219</v>
      </c>
      <c r="M60" s="7"/>
      <c r="N60" s="7">
        <f>SUM(N6:N58)</f>
        <v>18925424</v>
      </c>
      <c r="O60" s="7">
        <f>SUM(O6:O58)</f>
        <v>1805281</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Italic"First National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16832.191115170688</v>
      </c>
      <c r="C6" s="7">
        <v>1468.1207255038207</v>
      </c>
      <c r="D6" s="7">
        <v>0</v>
      </c>
      <c r="E6" s="7">
        <v>0</v>
      </c>
      <c r="F6" s="17">
        <f t="shared" ref="F6:F37" si="0">SUM(B6:E6)</f>
        <v>18300.311840674509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8640.3036852121331</v>
      </c>
      <c r="C9" s="7">
        <v>8284.8827851336046</v>
      </c>
      <c r="D9" s="7">
        <v>0</v>
      </c>
      <c r="E9" s="7">
        <v>0</v>
      </c>
      <c r="F9" s="17">
        <f t="shared" si="0"/>
        <v>16925.18647034574</v>
      </c>
      <c r="H9" s="4"/>
      <c r="I9" s="13"/>
      <c r="K9" s="10">
        <v>56916</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48277445</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167439.99999999997</v>
      </c>
      <c r="K14" s="10"/>
      <c r="L14" s="7"/>
      <c r="M14" s="7"/>
      <c r="N14" s="7"/>
      <c r="O14" s="7"/>
      <c r="P14" s="7"/>
      <c r="Q14" s="7"/>
      <c r="R14" s="7"/>
      <c r="S14" s="7"/>
      <c r="T14" s="7"/>
      <c r="U14" s="17"/>
    </row>
    <row r="15" spans="1:21">
      <c r="A15" t="s">
        <v>9</v>
      </c>
      <c r="B15" s="10">
        <v>1738.1556538644872</v>
      </c>
      <c r="C15" s="7">
        <v>507.82948038779068</v>
      </c>
      <c r="D15" s="7">
        <v>0</v>
      </c>
      <c r="E15" s="7">
        <v>0</v>
      </c>
      <c r="F15" s="17">
        <f t="shared" si="0"/>
        <v>2245.9851342522779</v>
      </c>
      <c r="H15" s="4" t="s">
        <v>69</v>
      </c>
      <c r="I15" s="14">
        <v>1786165.8438453248</v>
      </c>
      <c r="K15" s="10"/>
      <c r="L15" s="7"/>
      <c r="M15" s="7"/>
      <c r="N15" s="7"/>
      <c r="O15" s="7"/>
      <c r="P15" s="7"/>
      <c r="Q15" s="7"/>
      <c r="R15" s="7"/>
      <c r="S15" s="7"/>
      <c r="T15" s="7"/>
      <c r="U15" s="17"/>
    </row>
    <row r="16" spans="1:21">
      <c r="A16" t="s">
        <v>10</v>
      </c>
      <c r="B16" s="10">
        <v>-2232.1018489003618</v>
      </c>
      <c r="C16" s="7">
        <v>-905.5660524241157</v>
      </c>
      <c r="D16" s="7">
        <v>0</v>
      </c>
      <c r="E16" s="7">
        <v>0</v>
      </c>
      <c r="F16" s="17">
        <f t="shared" si="0"/>
        <v>-3137.6679013244775</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-25644.920826869216</v>
      </c>
      <c r="C19" s="7">
        <v>-13811.612037136758</v>
      </c>
      <c r="D19" s="7">
        <v>0</v>
      </c>
      <c r="E19" s="7">
        <v>0</v>
      </c>
      <c r="F19" s="17">
        <f t="shared" si="0"/>
        <v>-39456.532864005974</v>
      </c>
      <c r="H19" s="4" t="s">
        <v>72</v>
      </c>
      <c r="I19" s="14">
        <v>32999999</v>
      </c>
      <c r="K19" s="10">
        <v>325000</v>
      </c>
      <c r="L19" s="7">
        <v>0</v>
      </c>
      <c r="M19" s="7"/>
      <c r="N19" s="7">
        <v>0</v>
      </c>
      <c r="O19" s="7">
        <v>0</v>
      </c>
      <c r="P19" s="7"/>
      <c r="Q19" s="7">
        <v>0</v>
      </c>
      <c r="R19" s="7">
        <v>0</v>
      </c>
      <c r="S19" s="7"/>
      <c r="T19" s="7">
        <v>0</v>
      </c>
      <c r="U19" s="17">
        <v>0</v>
      </c>
    </row>
    <row r="20" spans="1:21">
      <c r="A20" t="s">
        <v>14</v>
      </c>
      <c r="B20" s="10">
        <v>0</v>
      </c>
      <c r="C20" s="7">
        <v>0</v>
      </c>
      <c r="D20" s="7">
        <v>0</v>
      </c>
      <c r="E20" s="7">
        <v>0</v>
      </c>
      <c r="F20" s="17">
        <f t="shared" si="0"/>
        <v>0</v>
      </c>
      <c r="H20" s="4" t="s">
        <v>73</v>
      </c>
      <c r="I20" s="14">
        <v>-236724.9999999998</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4411447</v>
      </c>
      <c r="K22" s="10"/>
      <c r="L22" s="7"/>
      <c r="M22" s="7"/>
      <c r="N22" s="7"/>
      <c r="O22" s="7"/>
      <c r="P22" s="7"/>
      <c r="Q22" s="7"/>
      <c r="R22" s="7"/>
      <c r="S22" s="7"/>
      <c r="T22" s="7"/>
      <c r="U22" s="17"/>
    </row>
    <row r="23" spans="1:21">
      <c r="A23" t="s">
        <v>17</v>
      </c>
      <c r="B23" s="10">
        <v>19129.163868154981</v>
      </c>
      <c r="C23" s="7">
        <v>3555.2163990097761</v>
      </c>
      <c r="D23" s="7">
        <v>0</v>
      </c>
      <c r="E23" s="7">
        <v>0</v>
      </c>
      <c r="F23" s="17">
        <f t="shared" si="0"/>
        <v>22684.380267164757</v>
      </c>
      <c r="H23" s="4" t="s">
        <v>76</v>
      </c>
      <c r="I23" s="14"/>
      <c r="K23" s="10">
        <v>440000</v>
      </c>
      <c r="L23" s="7">
        <v>0</v>
      </c>
      <c r="M23" s="7"/>
      <c r="N23" s="7">
        <v>80000</v>
      </c>
      <c r="O23" s="7">
        <v>0</v>
      </c>
      <c r="P23" s="7"/>
      <c r="Q23" s="7">
        <v>0</v>
      </c>
      <c r="R23" s="7">
        <v>0</v>
      </c>
      <c r="S23" s="7"/>
      <c r="T23" s="7">
        <v>0</v>
      </c>
      <c r="U23" s="17">
        <v>0</v>
      </c>
    </row>
    <row r="24" spans="1:21">
      <c r="A24" t="s">
        <v>18</v>
      </c>
      <c r="B24" s="10">
        <v>-9766.3121558787243</v>
      </c>
      <c r="C24" s="7">
        <v>-2887.239807882449</v>
      </c>
      <c r="D24" s="7">
        <v>0</v>
      </c>
      <c r="E24" s="7">
        <v>0</v>
      </c>
      <c r="F24" s="17">
        <f t="shared" si="0"/>
        <v>-12653.551963761172</v>
      </c>
      <c r="H24" s="4" t="s">
        <v>77</v>
      </c>
      <c r="I24" s="14">
        <v>12696835.254612444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359494.5892328769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359494.58923288225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-37223.508439367317</v>
      </c>
      <c r="C30" s="7">
        <v>-38699.605481189021</v>
      </c>
      <c r="D30" s="7">
        <v>0</v>
      </c>
      <c r="E30" s="7">
        <v>0</v>
      </c>
      <c r="F30" s="17">
        <f t="shared" si="0"/>
        <v>-75923.113920556338</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32347.615549309179</v>
      </c>
      <c r="C39" s="7">
        <v>11449.544696771351</v>
      </c>
      <c r="D39" s="7">
        <v>0</v>
      </c>
      <c r="E39" s="7">
        <v>0</v>
      </c>
      <c r="F39" s="17">
        <f t="shared" si="1"/>
        <v>43797.16024608053</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-25724.661215299348</v>
      </c>
      <c r="C42" s="7">
        <v>-12397.185118755431</v>
      </c>
      <c r="D42" s="7">
        <v>0</v>
      </c>
      <c r="E42" s="7">
        <v>0</v>
      </c>
      <c r="F42" s="17">
        <f t="shared" si="1"/>
        <v>-38121.846334054775</v>
      </c>
      <c r="K42" s="10">
        <v>46000</v>
      </c>
      <c r="L42" s="7">
        <v>0</v>
      </c>
      <c r="M42" s="7"/>
      <c r="N42" s="7">
        <v>4000</v>
      </c>
      <c r="O42" s="7">
        <v>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7565.1458645148268</v>
      </c>
      <c r="C47" s="7">
        <v>3243.0165273540456</v>
      </c>
      <c r="D47" s="7">
        <v>0</v>
      </c>
      <c r="E47" s="7">
        <v>0</v>
      </c>
      <c r="F47" s="17">
        <f t="shared" si="1"/>
        <v>10808.162391868873</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264728.24300448596</v>
      </c>
      <c r="C49" s="7">
        <v>85426.850537854247</v>
      </c>
      <c r="D49" s="7">
        <v>0</v>
      </c>
      <c r="E49" s="7">
        <v>0</v>
      </c>
      <c r="F49" s="17">
        <f t="shared" si="1"/>
        <v>350155.09354234021</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24657.231557763938</v>
      </c>
      <c r="C53" s="7">
        <v>6973.8850033070339</v>
      </c>
      <c r="D53" s="7">
        <v>0</v>
      </c>
      <c r="E53" s="7">
        <v>0</v>
      </c>
      <c r="F53" s="17">
        <f t="shared" si="1"/>
        <v>31631.116561070972</v>
      </c>
      <c r="K53" s="10">
        <v>375000</v>
      </c>
      <c r="L53" s="7">
        <v>0</v>
      </c>
      <c r="M53" s="7"/>
      <c r="N53" s="7">
        <v>5000</v>
      </c>
      <c r="O53" s="7">
        <v>0</v>
      </c>
      <c r="P53" s="7"/>
      <c r="Q53" s="7">
        <v>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18327.552017088106</v>
      </c>
      <c r="C55" s="7">
        <v>13912.353745699016</v>
      </c>
      <c r="D55" s="7">
        <v>0</v>
      </c>
      <c r="E55" s="7">
        <v>0</v>
      </c>
      <c r="F55" s="17">
        <f t="shared" si="1"/>
        <v>32239.905762787123</v>
      </c>
      <c r="K55" s="10">
        <v>0</v>
      </c>
      <c r="L55" s="7">
        <v>0</v>
      </c>
      <c r="M55" s="7"/>
      <c r="N55" s="7">
        <v>0</v>
      </c>
      <c r="O55" s="7">
        <v>0</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293374.09782924934</v>
      </c>
      <c r="C60" s="7">
        <f>SUM(C6:C58)</f>
        <v>66120.491403632914</v>
      </c>
      <c r="D60" s="7">
        <f>SUM(D6:D58)</f>
        <v>0</v>
      </c>
      <c r="E60" s="7">
        <f>SUM(E6:E58)</f>
        <v>0</v>
      </c>
      <c r="F60" s="17">
        <f>SUM(F6:F58)</f>
        <v>359494.58923288225</v>
      </c>
      <c r="K60" s="10">
        <f>SUM(K6:K58)</f>
        <v>1242916</v>
      </c>
      <c r="L60" s="7">
        <f>SUM(L6:L58)</f>
        <v>0</v>
      </c>
      <c r="M60" s="7"/>
      <c r="N60" s="7">
        <f>SUM(N6:N58)</f>
        <v>89000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Italic"Franklin American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385769.14713904017</v>
      </c>
      <c r="C6" s="7">
        <v>0</v>
      </c>
      <c r="D6" s="7">
        <v>0</v>
      </c>
      <c r="E6" s="7">
        <v>0</v>
      </c>
      <c r="F6" s="17">
        <f t="shared" ref="F6:F37" si="0">SUM(B6:E6)</f>
        <v>385769.14713904017</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37610.798686880138</v>
      </c>
      <c r="C8" s="7">
        <v>0</v>
      </c>
      <c r="D8" s="7">
        <v>0</v>
      </c>
      <c r="E8" s="7">
        <v>0</v>
      </c>
      <c r="F8" s="17">
        <f t="shared" si="0"/>
        <v>37610.798686880138</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17074665</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18066</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406240</v>
      </c>
      <c r="K14" s="10"/>
      <c r="L14" s="7"/>
      <c r="M14" s="7"/>
      <c r="N14" s="7"/>
      <c r="O14" s="7"/>
      <c r="P14" s="7"/>
      <c r="Q14" s="7"/>
      <c r="R14" s="7"/>
      <c r="S14" s="7"/>
      <c r="T14" s="7"/>
      <c r="U14" s="17"/>
    </row>
    <row r="15" spans="1:21">
      <c r="A15" t="s">
        <v>9</v>
      </c>
      <c r="B15" s="10">
        <v>155533.17629459267</v>
      </c>
      <c r="C15" s="7">
        <v>0</v>
      </c>
      <c r="D15" s="7">
        <v>0</v>
      </c>
      <c r="E15" s="7">
        <v>0</v>
      </c>
      <c r="F15" s="17">
        <f t="shared" si="0"/>
        <v>155533.17629459267</v>
      </c>
      <c r="H15" s="4" t="s">
        <v>69</v>
      </c>
      <c r="I15" s="14">
        <v>622532.71583905583</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-1329839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711825</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1164222.1717159315</v>
      </c>
      <c r="C24" s="7">
        <v>64756.25734490568</v>
      </c>
      <c r="D24" s="7">
        <v>0</v>
      </c>
      <c r="E24" s="7">
        <v>0</v>
      </c>
      <c r="F24" s="17">
        <f t="shared" si="0"/>
        <v>1228978.4290608373</v>
      </c>
      <c r="H24" s="4" t="s">
        <v>77</v>
      </c>
      <c r="I24" s="14">
        <v>2147371</v>
      </c>
      <c r="K24" s="10">
        <v>959087</v>
      </c>
      <c r="L24" s="7">
        <v>0</v>
      </c>
      <c r="M24" s="7"/>
      <c r="N24" s="7">
        <v>402992</v>
      </c>
      <c r="O24" s="7">
        <v>0</v>
      </c>
      <c r="P24" s="7"/>
      <c r="Q24" s="7">
        <v>52921</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16592146.715839054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16592146.715839056</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10539032.533673627</v>
      </c>
      <c r="C30" s="7">
        <v>3803694.0110086263</v>
      </c>
      <c r="D30" s="7">
        <v>0</v>
      </c>
      <c r="E30" s="7">
        <v>0</v>
      </c>
      <c r="F30" s="17">
        <f t="shared" si="0"/>
        <v>14342726.544682253</v>
      </c>
      <c r="K30" s="10">
        <v>4320000</v>
      </c>
      <c r="L30" s="7">
        <v>0</v>
      </c>
      <c r="M30" s="7"/>
      <c r="N30" s="7">
        <v>1680000</v>
      </c>
      <c r="O30" s="7">
        <v>0</v>
      </c>
      <c r="P30" s="7"/>
      <c r="Q30" s="7">
        <v>0</v>
      </c>
      <c r="R30" s="7">
        <v>0</v>
      </c>
      <c r="S30" s="7"/>
      <c r="T30" s="7">
        <v>0</v>
      </c>
      <c r="U30" s="17">
        <v>0</v>
      </c>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22046.50055194864</v>
      </c>
      <c r="C37" s="7">
        <v>0</v>
      </c>
      <c r="D37" s="7">
        <v>0</v>
      </c>
      <c r="E37" s="7">
        <v>0</v>
      </c>
      <c r="F37" s="17">
        <f t="shared" si="0"/>
        <v>22046.50055194864</v>
      </c>
      <c r="K37" s="10">
        <v>29979</v>
      </c>
      <c r="L37" s="7">
        <v>0</v>
      </c>
      <c r="M37" s="7"/>
      <c r="N37" s="7">
        <v>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10626.066908610865</v>
      </c>
      <c r="C42" s="7">
        <v>0</v>
      </c>
      <c r="D42" s="7">
        <v>0</v>
      </c>
      <c r="E42" s="7">
        <v>0</v>
      </c>
      <c r="F42" s="17">
        <f t="shared" si="1"/>
        <v>10626.066908610865</v>
      </c>
      <c r="K42" s="10">
        <v>100000</v>
      </c>
      <c r="L42" s="7">
        <v>0</v>
      </c>
      <c r="M42" s="7"/>
      <c r="N42" s="7">
        <v>0</v>
      </c>
      <c r="O42" s="7">
        <v>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408856.0525148937</v>
      </c>
      <c r="C50" s="7">
        <v>0</v>
      </c>
      <c r="D50" s="7">
        <v>0</v>
      </c>
      <c r="E50" s="7">
        <v>0</v>
      </c>
      <c r="F50" s="17">
        <f t="shared" si="1"/>
        <v>408856.0525148937</v>
      </c>
      <c r="K50" s="10">
        <v>475086</v>
      </c>
      <c r="L50" s="7">
        <v>0</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12723696.447485525</v>
      </c>
      <c r="C60" s="7">
        <f>SUM(C6:C58)</f>
        <v>3868450.2683535321</v>
      </c>
      <c r="D60" s="7">
        <f>SUM(D6:D58)</f>
        <v>0</v>
      </c>
      <c r="E60" s="7">
        <f>SUM(E6:E58)</f>
        <v>0</v>
      </c>
      <c r="F60" s="17">
        <f>SUM(F6:F58)</f>
        <v>16592146.715839056</v>
      </c>
      <c r="K60" s="10">
        <f>SUM(K6:K58)</f>
        <v>5884152</v>
      </c>
      <c r="L60" s="7">
        <f>SUM(L6:L58)</f>
        <v>0</v>
      </c>
      <c r="M60" s="7"/>
      <c r="N60" s="7">
        <f>SUM(N6:N58)</f>
        <v>2082992</v>
      </c>
      <c r="O60" s="7">
        <f>SUM(O6:O58)</f>
        <v>0</v>
      </c>
      <c r="P60" s="7"/>
      <c r="Q60" s="7">
        <f>SUM(Q6:Q58)</f>
        <v>52921</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Italic"Franklin Protective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15173.355322033167</v>
      </c>
      <c r="C6" s="7">
        <v>0</v>
      </c>
      <c r="D6" s="7">
        <v>2703.4418892379763</v>
      </c>
      <c r="E6" s="7">
        <v>0</v>
      </c>
      <c r="F6" s="17">
        <f t="shared" ref="F6:F37" si="0">SUM(B6:E6)</f>
        <v>17876.797211271143</v>
      </c>
      <c r="K6" s="10">
        <v>0</v>
      </c>
      <c r="L6" s="7">
        <v>0</v>
      </c>
      <c r="M6" s="7"/>
      <c r="N6" s="7">
        <v>0</v>
      </c>
      <c r="O6" s="7">
        <v>0</v>
      </c>
      <c r="P6" s="7"/>
      <c r="Q6" s="7">
        <v>202000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618.94917449109334</v>
      </c>
      <c r="E8" s="7">
        <v>0</v>
      </c>
      <c r="F8" s="17">
        <f t="shared" si="0"/>
        <v>618.94917449109334</v>
      </c>
      <c r="H8" s="4" t="s">
        <v>64</v>
      </c>
      <c r="I8" s="13"/>
      <c r="K8" s="10"/>
      <c r="L8" s="7"/>
      <c r="M8" s="7"/>
      <c r="N8" s="7"/>
      <c r="O8" s="7"/>
      <c r="P8" s="7"/>
      <c r="Q8" s="7"/>
      <c r="R8" s="7"/>
      <c r="S8" s="7"/>
      <c r="T8" s="7"/>
      <c r="U8" s="17"/>
    </row>
    <row r="9" spans="1:21">
      <c r="A9" t="s">
        <v>3</v>
      </c>
      <c r="B9" s="10">
        <v>0</v>
      </c>
      <c r="C9" s="7">
        <v>0</v>
      </c>
      <c r="D9" s="7">
        <v>3116.3120457826826</v>
      </c>
      <c r="E9" s="7">
        <v>0</v>
      </c>
      <c r="F9" s="17">
        <f t="shared" si="0"/>
        <v>3116.3120457826826</v>
      </c>
      <c r="H9" s="4"/>
      <c r="I9" s="13"/>
      <c r="K9" s="10"/>
      <c r="L9" s="7"/>
      <c r="M9" s="7"/>
      <c r="N9" s="7"/>
      <c r="O9" s="7"/>
      <c r="P9" s="7"/>
      <c r="Q9" s="7"/>
      <c r="R9" s="7"/>
      <c r="S9" s="7"/>
      <c r="T9" s="7"/>
      <c r="U9" s="17"/>
    </row>
    <row r="10" spans="1:21">
      <c r="A10" t="s">
        <v>4</v>
      </c>
      <c r="B10" s="10">
        <v>0</v>
      </c>
      <c r="C10" s="7">
        <v>0</v>
      </c>
      <c r="D10" s="7">
        <v>360.15509456450377</v>
      </c>
      <c r="E10" s="7">
        <v>0</v>
      </c>
      <c r="F10" s="17">
        <f t="shared" si="0"/>
        <v>360.15509456450377</v>
      </c>
      <c r="H10" s="4" t="s">
        <v>65</v>
      </c>
      <c r="I10" s="14">
        <v>16205681.249743802</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-1929.094204119453</v>
      </c>
      <c r="E12" s="7">
        <v>0</v>
      </c>
      <c r="F12" s="17">
        <f t="shared" si="0"/>
        <v>-1929.094204119453</v>
      </c>
      <c r="H12" s="4" t="s">
        <v>66</v>
      </c>
      <c r="I12" s="14"/>
      <c r="K12" s="10"/>
      <c r="L12" s="7"/>
      <c r="M12" s="7"/>
      <c r="N12" s="7"/>
      <c r="O12" s="7"/>
      <c r="P12" s="7"/>
      <c r="Q12" s="7"/>
      <c r="R12" s="7"/>
      <c r="S12" s="7"/>
      <c r="T12" s="7"/>
      <c r="U12" s="17"/>
    </row>
    <row r="13" spans="1:21">
      <c r="A13" t="s">
        <v>7</v>
      </c>
      <c r="B13" s="10">
        <v>6717.1855296451977</v>
      </c>
      <c r="C13" s="7">
        <v>0</v>
      </c>
      <c r="D13" s="7">
        <v>0</v>
      </c>
      <c r="E13" s="7">
        <v>0</v>
      </c>
      <c r="F13" s="17">
        <f t="shared" si="0"/>
        <v>6717.1855296451977</v>
      </c>
      <c r="H13" s="4" t="s">
        <v>67</v>
      </c>
      <c r="I13" s="14">
        <v>10602029</v>
      </c>
      <c r="K13" s="10">
        <v>0</v>
      </c>
      <c r="L13" s="7">
        <v>0</v>
      </c>
      <c r="M13" s="7"/>
      <c r="N13" s="7">
        <v>0</v>
      </c>
      <c r="O13" s="7">
        <v>0</v>
      </c>
      <c r="P13" s="7"/>
      <c r="Q13" s="7">
        <v>100000</v>
      </c>
      <c r="R13" s="7">
        <v>0</v>
      </c>
      <c r="S13" s="7"/>
      <c r="T13" s="7">
        <v>0</v>
      </c>
      <c r="U13" s="17">
        <v>0</v>
      </c>
    </row>
    <row r="14" spans="1:21">
      <c r="A14" t="s">
        <v>8</v>
      </c>
      <c r="B14" s="10">
        <v>0</v>
      </c>
      <c r="C14" s="7">
        <v>0</v>
      </c>
      <c r="D14" s="7">
        <v>0</v>
      </c>
      <c r="E14" s="7">
        <v>0</v>
      </c>
      <c r="F14" s="17">
        <f t="shared" si="0"/>
        <v>0</v>
      </c>
      <c r="H14" s="4" t="s">
        <v>68</v>
      </c>
      <c r="I14" s="14">
        <v>3311759.0000000009</v>
      </c>
      <c r="K14" s="10"/>
      <c r="L14" s="7"/>
      <c r="M14" s="7"/>
      <c r="N14" s="7"/>
      <c r="O14" s="7"/>
      <c r="P14" s="7"/>
      <c r="Q14" s="7"/>
      <c r="R14" s="7"/>
      <c r="S14" s="7"/>
      <c r="T14" s="7"/>
      <c r="U14" s="17"/>
    </row>
    <row r="15" spans="1:21">
      <c r="A15" t="s">
        <v>9</v>
      </c>
      <c r="B15" s="10">
        <v>119709.99998735217</v>
      </c>
      <c r="C15" s="7">
        <v>15609.090999259817</v>
      </c>
      <c r="D15" s="7">
        <v>143299.88165959343</v>
      </c>
      <c r="E15" s="7">
        <v>0</v>
      </c>
      <c r="F15" s="17">
        <f t="shared" si="0"/>
        <v>278618.97264620545</v>
      </c>
      <c r="H15" s="4" t="s">
        <v>69</v>
      </c>
      <c r="I15" s="14">
        <v>358077.81000000017</v>
      </c>
      <c r="K15" s="10">
        <v>535000</v>
      </c>
      <c r="L15" s="7">
        <v>0</v>
      </c>
      <c r="M15" s="7"/>
      <c r="N15" s="7">
        <v>65000</v>
      </c>
      <c r="O15" s="7">
        <v>0</v>
      </c>
      <c r="P15" s="7"/>
      <c r="Q15" s="7">
        <v>4900000</v>
      </c>
      <c r="R15" s="7">
        <v>0</v>
      </c>
      <c r="S15" s="7"/>
      <c r="T15" s="7">
        <v>0</v>
      </c>
      <c r="U15" s="17">
        <v>0</v>
      </c>
    </row>
    <row r="16" spans="1:21">
      <c r="A16" t="s">
        <v>10</v>
      </c>
      <c r="B16" s="10">
        <v>56067.504167949897</v>
      </c>
      <c r="C16" s="7">
        <v>23172.128771656222</v>
      </c>
      <c r="D16" s="7">
        <v>25189.705707789632</v>
      </c>
      <c r="E16" s="7">
        <v>0</v>
      </c>
      <c r="F16" s="17">
        <f t="shared" si="0"/>
        <v>104429.33864739575</v>
      </c>
      <c r="H16" s="4" t="s">
        <v>70</v>
      </c>
      <c r="I16" s="14">
        <v>0</v>
      </c>
      <c r="K16" s="10">
        <v>172000</v>
      </c>
      <c r="L16" s="7">
        <v>0</v>
      </c>
      <c r="M16" s="7"/>
      <c r="N16" s="7">
        <v>72000</v>
      </c>
      <c r="O16" s="7">
        <v>739.16</v>
      </c>
      <c r="P16" s="7"/>
      <c r="Q16" s="7">
        <v>1200000</v>
      </c>
      <c r="R16" s="7">
        <v>0</v>
      </c>
      <c r="S16" s="7"/>
      <c r="T16" s="7">
        <v>0</v>
      </c>
      <c r="U16" s="17">
        <v>0</v>
      </c>
    </row>
    <row r="17" spans="1:21">
      <c r="A17" t="s">
        <v>11</v>
      </c>
      <c r="B17" s="10">
        <v>0</v>
      </c>
      <c r="C17" s="7">
        <v>0</v>
      </c>
      <c r="D17" s="7">
        <v>-44.210655320792384</v>
      </c>
      <c r="E17" s="7">
        <v>0</v>
      </c>
      <c r="F17" s="17">
        <f t="shared" si="0"/>
        <v>-44.210655320792384</v>
      </c>
      <c r="H17" s="4"/>
      <c r="I17" s="14"/>
      <c r="K17" s="10"/>
      <c r="L17" s="7"/>
      <c r="M17" s="7"/>
      <c r="N17" s="7"/>
      <c r="O17" s="7"/>
      <c r="P17" s="7"/>
      <c r="Q17" s="7"/>
      <c r="R17" s="7"/>
      <c r="S17" s="7"/>
      <c r="T17" s="7"/>
      <c r="U17" s="17"/>
    </row>
    <row r="18" spans="1:21">
      <c r="A18" t="s">
        <v>12</v>
      </c>
      <c r="B18" s="10">
        <v>0</v>
      </c>
      <c r="C18" s="7">
        <v>0</v>
      </c>
      <c r="D18" s="7">
        <v>1866.5523014705273</v>
      </c>
      <c r="E18" s="7">
        <v>0</v>
      </c>
      <c r="F18" s="17">
        <f t="shared" si="0"/>
        <v>1866.5523014705273</v>
      </c>
      <c r="H18" s="4" t="s">
        <v>71</v>
      </c>
      <c r="I18" s="14"/>
      <c r="K18" s="10"/>
      <c r="L18" s="7"/>
      <c r="M18" s="7"/>
      <c r="N18" s="7"/>
      <c r="O18" s="7"/>
      <c r="P18" s="7"/>
      <c r="Q18" s="7"/>
      <c r="R18" s="7"/>
      <c r="S18" s="7"/>
      <c r="T18" s="7"/>
      <c r="U18" s="17"/>
    </row>
    <row r="19" spans="1:21">
      <c r="A19" t="s">
        <v>13</v>
      </c>
      <c r="B19" s="10">
        <v>0</v>
      </c>
      <c r="C19" s="7">
        <v>0</v>
      </c>
      <c r="D19" s="7">
        <v>1596.9751348803297</v>
      </c>
      <c r="E19" s="7">
        <v>0</v>
      </c>
      <c r="F19" s="17">
        <f t="shared" si="0"/>
        <v>1596.9751348803297</v>
      </c>
      <c r="H19" s="4" t="s">
        <v>72</v>
      </c>
      <c r="I19" s="14">
        <v>858110</v>
      </c>
      <c r="K19" s="10"/>
      <c r="L19" s="7"/>
      <c r="M19" s="7"/>
      <c r="N19" s="7"/>
      <c r="O19" s="7"/>
      <c r="P19" s="7"/>
      <c r="Q19" s="7"/>
      <c r="R19" s="7"/>
      <c r="S19" s="7"/>
      <c r="T19" s="7"/>
      <c r="U19" s="17"/>
    </row>
    <row r="20" spans="1:21">
      <c r="A20" t="s">
        <v>14</v>
      </c>
      <c r="B20" s="10">
        <v>27710.794051939447</v>
      </c>
      <c r="C20" s="7">
        <v>0</v>
      </c>
      <c r="D20" s="7">
        <v>10827.303035447141</v>
      </c>
      <c r="E20" s="7">
        <v>0</v>
      </c>
      <c r="F20" s="17">
        <f t="shared" si="0"/>
        <v>38538.097087386588</v>
      </c>
      <c r="H20" s="4" t="s">
        <v>73</v>
      </c>
      <c r="I20" s="14">
        <v>10356665.249743806</v>
      </c>
      <c r="K20" s="10">
        <v>0</v>
      </c>
      <c r="L20" s="7">
        <v>0</v>
      </c>
      <c r="M20" s="7"/>
      <c r="N20" s="7">
        <v>0</v>
      </c>
      <c r="O20" s="7">
        <v>0</v>
      </c>
      <c r="P20" s="7"/>
      <c r="Q20" s="7">
        <v>590456</v>
      </c>
      <c r="R20" s="7">
        <v>0</v>
      </c>
      <c r="S20" s="7"/>
      <c r="T20" s="7">
        <v>0</v>
      </c>
      <c r="U20" s="17">
        <v>0</v>
      </c>
    </row>
    <row r="21" spans="1:21">
      <c r="A21" t="s">
        <v>15</v>
      </c>
      <c r="B21" s="10">
        <v>0</v>
      </c>
      <c r="C21" s="7">
        <v>0</v>
      </c>
      <c r="D21" s="7">
        <v>58.228667983482651</v>
      </c>
      <c r="E21" s="7">
        <v>0</v>
      </c>
      <c r="F21" s="17">
        <f t="shared" si="0"/>
        <v>58.228667983482651</v>
      </c>
      <c r="H21" s="4" t="s">
        <v>74</v>
      </c>
      <c r="I21" s="14"/>
      <c r="K21" s="10"/>
      <c r="L21" s="7"/>
      <c r="M21" s="7"/>
      <c r="N21" s="7"/>
      <c r="O21" s="7"/>
      <c r="P21" s="7"/>
      <c r="Q21" s="7"/>
      <c r="R21" s="7"/>
      <c r="S21" s="7"/>
      <c r="T21" s="7"/>
      <c r="U21" s="17"/>
    </row>
    <row r="22" spans="1:21">
      <c r="A22" t="s">
        <v>16</v>
      </c>
      <c r="B22" s="10">
        <v>0</v>
      </c>
      <c r="C22" s="7">
        <v>0</v>
      </c>
      <c r="D22" s="7">
        <v>408.67898455073936</v>
      </c>
      <c r="E22" s="7">
        <v>0</v>
      </c>
      <c r="F22" s="17">
        <f t="shared" si="0"/>
        <v>408.67898455073936</v>
      </c>
      <c r="H22" s="4" t="s">
        <v>75</v>
      </c>
      <c r="I22" s="14">
        <v>418260</v>
      </c>
      <c r="K22" s="10"/>
      <c r="L22" s="7"/>
      <c r="M22" s="7"/>
      <c r="N22" s="7"/>
      <c r="O22" s="7"/>
      <c r="P22" s="7"/>
      <c r="Q22" s="7"/>
      <c r="R22" s="7"/>
      <c r="S22" s="7"/>
      <c r="T22" s="7"/>
      <c r="U22" s="17"/>
    </row>
    <row r="23" spans="1:21">
      <c r="A23" t="s">
        <v>17</v>
      </c>
      <c r="B23" s="10">
        <v>0</v>
      </c>
      <c r="C23" s="7">
        <v>0</v>
      </c>
      <c r="D23" s="7">
        <v>73087.694933049381</v>
      </c>
      <c r="E23" s="7">
        <v>0</v>
      </c>
      <c r="F23" s="17">
        <f t="shared" si="0"/>
        <v>73087.694933049381</v>
      </c>
      <c r="H23" s="4" t="s">
        <v>76</v>
      </c>
      <c r="I23" s="14"/>
      <c r="K23" s="10">
        <v>2378202</v>
      </c>
      <c r="L23" s="7">
        <v>1606905.95</v>
      </c>
      <c r="M23" s="7"/>
      <c r="N23" s="7">
        <v>0</v>
      </c>
      <c r="O23" s="7">
        <v>0</v>
      </c>
      <c r="P23" s="7"/>
      <c r="Q23" s="7">
        <v>374000</v>
      </c>
      <c r="R23" s="7">
        <v>175940</v>
      </c>
      <c r="S23" s="7"/>
      <c r="T23" s="7">
        <v>0</v>
      </c>
      <c r="U23" s="17">
        <v>0</v>
      </c>
    </row>
    <row r="24" spans="1:21">
      <c r="A24" t="s">
        <v>18</v>
      </c>
      <c r="B24" s="10">
        <v>0</v>
      </c>
      <c r="C24" s="7">
        <v>0</v>
      </c>
      <c r="D24" s="7">
        <v>0</v>
      </c>
      <c r="E24" s="7">
        <v>0</v>
      </c>
      <c r="F24" s="17">
        <f t="shared" si="0"/>
        <v>0</v>
      </c>
      <c r="H24" s="4" t="s">
        <v>77</v>
      </c>
      <c r="I24" s="14">
        <v>17058382.000000004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23151.585421306459</v>
      </c>
      <c r="C26" s="7">
        <v>0</v>
      </c>
      <c r="D26" s="7">
        <v>532.54418560823115</v>
      </c>
      <c r="E26" s="7">
        <v>0</v>
      </c>
      <c r="F26" s="17">
        <f t="shared" si="0"/>
        <v>23684.129606914692</v>
      </c>
      <c r="H26" s="4" t="s">
        <v>78</v>
      </c>
      <c r="I26" s="14">
        <f>SUM(I10:I16)-SUM(I19:I24)</f>
        <v>1786129.8099999912</v>
      </c>
      <c r="K26" s="10">
        <v>400000</v>
      </c>
      <c r="L26" s="7">
        <v>0</v>
      </c>
      <c r="M26" s="7"/>
      <c r="N26" s="7">
        <v>0</v>
      </c>
      <c r="O26" s="7">
        <v>0</v>
      </c>
      <c r="P26" s="7"/>
      <c r="Q26" s="7">
        <v>0</v>
      </c>
      <c r="R26" s="7">
        <v>0</v>
      </c>
      <c r="S26" s="7"/>
      <c r="T26" s="7">
        <v>0</v>
      </c>
      <c r="U26" s="17">
        <v>0</v>
      </c>
    </row>
    <row r="27" spans="1:21">
      <c r="A27" t="s">
        <v>21</v>
      </c>
      <c r="B27" s="10">
        <v>0</v>
      </c>
      <c r="C27" s="7">
        <v>0</v>
      </c>
      <c r="D27" s="7">
        <v>1484.8310335788076</v>
      </c>
      <c r="E27" s="7">
        <v>0</v>
      </c>
      <c r="F27" s="17">
        <f t="shared" si="0"/>
        <v>1484.8310335788076</v>
      </c>
      <c r="H27" s="4" t="s">
        <v>79</v>
      </c>
      <c r="I27" s="14">
        <f>+F60</f>
        <v>1786129.8099999994</v>
      </c>
      <c r="K27" s="10"/>
      <c r="L27" s="7"/>
      <c r="M27" s="7"/>
      <c r="N27" s="7"/>
      <c r="O27" s="7"/>
      <c r="P27" s="7"/>
      <c r="Q27" s="7"/>
      <c r="R27" s="7"/>
      <c r="S27" s="7"/>
      <c r="T27" s="7"/>
      <c r="U27" s="17"/>
    </row>
    <row r="28" spans="1:21">
      <c r="A28" t="s">
        <v>22</v>
      </c>
      <c r="B28" s="10">
        <v>0</v>
      </c>
      <c r="C28" s="7">
        <v>0</v>
      </c>
      <c r="D28" s="7">
        <v>4418.9089147465165</v>
      </c>
      <c r="E28" s="7">
        <v>0</v>
      </c>
      <c r="F28" s="17">
        <f t="shared" si="0"/>
        <v>4418.9089147465165</v>
      </c>
      <c r="H28" s="23"/>
      <c r="I28" s="25"/>
      <c r="K28" s="10"/>
      <c r="L28" s="7"/>
      <c r="M28" s="7"/>
      <c r="N28" s="7"/>
      <c r="O28" s="7"/>
      <c r="P28" s="7"/>
      <c r="Q28" s="7"/>
      <c r="R28" s="7"/>
      <c r="S28" s="7"/>
      <c r="T28" s="7"/>
      <c r="U28" s="17"/>
    </row>
    <row r="29" spans="1:21">
      <c r="A29" t="s">
        <v>23</v>
      </c>
      <c r="B29" s="10">
        <v>0</v>
      </c>
      <c r="C29" s="7">
        <v>0</v>
      </c>
      <c r="D29" s="7">
        <v>1952.8169947793904</v>
      </c>
      <c r="E29" s="7">
        <v>0</v>
      </c>
      <c r="F29" s="17">
        <f t="shared" si="0"/>
        <v>1952.8169947793904</v>
      </c>
      <c r="K29" s="10"/>
      <c r="L29" s="7"/>
      <c r="M29" s="7"/>
      <c r="N29" s="7"/>
      <c r="O29" s="7"/>
      <c r="P29" s="7"/>
      <c r="Q29" s="7"/>
      <c r="R29" s="7"/>
      <c r="S29" s="7"/>
      <c r="T29" s="7"/>
      <c r="U29" s="17"/>
    </row>
    <row r="30" spans="1:21">
      <c r="A30" t="s">
        <v>24</v>
      </c>
      <c r="B30" s="10">
        <v>0</v>
      </c>
      <c r="C30" s="7">
        <v>0</v>
      </c>
      <c r="D30" s="7">
        <v>915.4840577403105</v>
      </c>
      <c r="E30" s="7">
        <v>0</v>
      </c>
      <c r="F30" s="17">
        <f t="shared" si="0"/>
        <v>915.4840577403105</v>
      </c>
      <c r="K30" s="10"/>
      <c r="L30" s="7"/>
      <c r="M30" s="7"/>
      <c r="N30" s="7"/>
      <c r="O30" s="7"/>
      <c r="P30" s="7"/>
      <c r="Q30" s="7"/>
      <c r="R30" s="7"/>
      <c r="S30" s="7"/>
      <c r="T30" s="7"/>
      <c r="U30" s="17"/>
    </row>
    <row r="31" spans="1:21">
      <c r="A31" t="s">
        <v>25</v>
      </c>
      <c r="B31" s="10">
        <v>6103.4032876582933</v>
      </c>
      <c r="C31" s="7">
        <v>995.20596718064553</v>
      </c>
      <c r="D31" s="7">
        <v>1061.8973760636036</v>
      </c>
      <c r="E31" s="7">
        <v>0</v>
      </c>
      <c r="F31" s="17">
        <f t="shared" si="0"/>
        <v>8160.5066309025424</v>
      </c>
      <c r="K31" s="10">
        <v>25000</v>
      </c>
      <c r="L31" s="7">
        <v>0</v>
      </c>
      <c r="M31" s="7"/>
      <c r="N31" s="7">
        <v>0</v>
      </c>
      <c r="O31" s="7">
        <v>0</v>
      </c>
      <c r="P31" s="7"/>
      <c r="Q31" s="7">
        <v>25000</v>
      </c>
      <c r="R31" s="7">
        <v>0</v>
      </c>
      <c r="S31" s="7"/>
      <c r="T31" s="7">
        <v>0</v>
      </c>
      <c r="U31" s="17">
        <v>0</v>
      </c>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1133.3024083451901</v>
      </c>
      <c r="E35" s="7">
        <v>0</v>
      </c>
      <c r="F35" s="17">
        <f t="shared" si="0"/>
        <v>1133.3024083451901</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4112.669253500052</v>
      </c>
      <c r="E38" s="7">
        <v>0</v>
      </c>
      <c r="F38" s="17">
        <f t="shared" ref="F38:F58" si="1">SUM(B38:E38)</f>
        <v>4112.669253500052</v>
      </c>
      <c r="K38" s="10"/>
      <c r="L38" s="7"/>
      <c r="M38" s="7"/>
      <c r="N38" s="7"/>
      <c r="O38" s="7"/>
      <c r="P38" s="7"/>
      <c r="Q38" s="7"/>
      <c r="R38" s="7"/>
      <c r="S38" s="7"/>
      <c r="T38" s="7"/>
      <c r="U38" s="17"/>
    </row>
    <row r="39" spans="1:21">
      <c r="A39" t="s">
        <v>33</v>
      </c>
      <c r="B39" s="10">
        <v>-10343.793959814473</v>
      </c>
      <c r="C39" s="7">
        <v>0</v>
      </c>
      <c r="D39" s="7">
        <v>0</v>
      </c>
      <c r="E39" s="7">
        <v>0</v>
      </c>
      <c r="F39" s="17">
        <f t="shared" si="1"/>
        <v>-10343.793959814473</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3037.5955131383448</v>
      </c>
      <c r="E41" s="7">
        <v>0</v>
      </c>
      <c r="F41" s="17">
        <f t="shared" si="1"/>
        <v>3037.5955131383448</v>
      </c>
      <c r="K41" s="10"/>
      <c r="L41" s="7"/>
      <c r="M41" s="7"/>
      <c r="N41" s="7"/>
      <c r="O41" s="7"/>
      <c r="P41" s="7"/>
      <c r="Q41" s="7"/>
      <c r="R41" s="7"/>
      <c r="S41" s="7"/>
      <c r="T41" s="7"/>
      <c r="U41" s="17"/>
    </row>
    <row r="42" spans="1:21">
      <c r="A42" t="s">
        <v>36</v>
      </c>
      <c r="B42" s="10">
        <v>20431.664418503089</v>
      </c>
      <c r="C42" s="7">
        <v>1110.6183550082642</v>
      </c>
      <c r="D42" s="7">
        <v>1689.5577102785282</v>
      </c>
      <c r="E42" s="7">
        <v>0</v>
      </c>
      <c r="F42" s="17">
        <f t="shared" si="1"/>
        <v>23231.840483789882</v>
      </c>
      <c r="K42" s="10">
        <v>40000</v>
      </c>
      <c r="L42" s="7">
        <v>17600</v>
      </c>
      <c r="M42" s="7"/>
      <c r="N42" s="7">
        <v>0</v>
      </c>
      <c r="O42" s="7">
        <v>0</v>
      </c>
      <c r="P42" s="7"/>
      <c r="Q42" s="7">
        <v>210000</v>
      </c>
      <c r="R42" s="7">
        <v>92400</v>
      </c>
      <c r="S42" s="7"/>
      <c r="T42" s="7">
        <v>0</v>
      </c>
      <c r="U42" s="17">
        <v>0</v>
      </c>
    </row>
    <row r="43" spans="1:21">
      <c r="A43" t="s">
        <v>37</v>
      </c>
      <c r="B43" s="10">
        <v>0</v>
      </c>
      <c r="C43" s="7">
        <v>0</v>
      </c>
      <c r="D43" s="7">
        <v>66.85513731436896</v>
      </c>
      <c r="E43" s="7">
        <v>0</v>
      </c>
      <c r="F43" s="17">
        <f t="shared" si="1"/>
        <v>66.85513731436896</v>
      </c>
      <c r="K43" s="10"/>
      <c r="L43" s="7"/>
      <c r="M43" s="7"/>
      <c r="N43" s="7"/>
      <c r="O43" s="7"/>
      <c r="P43" s="7"/>
      <c r="Q43" s="7"/>
      <c r="R43" s="7"/>
      <c r="S43" s="7"/>
      <c r="T43" s="7"/>
      <c r="U43" s="17"/>
    </row>
    <row r="44" spans="1:21">
      <c r="A44" t="s">
        <v>38</v>
      </c>
      <c r="B44" s="10">
        <v>38708.294577416673</v>
      </c>
      <c r="C44" s="7">
        <v>351.53302592860518</v>
      </c>
      <c r="D44" s="7">
        <v>845.13559120341233</v>
      </c>
      <c r="E44" s="7">
        <v>0</v>
      </c>
      <c r="F44" s="17">
        <f t="shared" si="1"/>
        <v>39904.963194548691</v>
      </c>
      <c r="K44" s="10">
        <v>249570</v>
      </c>
      <c r="L44" s="7">
        <v>0</v>
      </c>
      <c r="M44" s="7"/>
      <c r="N44" s="7">
        <v>0</v>
      </c>
      <c r="O44" s="7">
        <v>0</v>
      </c>
      <c r="P44" s="7"/>
      <c r="Q44" s="7">
        <v>750420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5.3915433318039492</v>
      </c>
      <c r="E46" s="7">
        <v>0</v>
      </c>
      <c r="F46" s="17">
        <f t="shared" si="1"/>
        <v>5.3915433318039492</v>
      </c>
      <c r="K46" s="10"/>
      <c r="L46" s="7"/>
      <c r="M46" s="7"/>
      <c r="N46" s="7"/>
      <c r="O46" s="7"/>
      <c r="P46" s="7"/>
      <c r="Q46" s="7"/>
      <c r="R46" s="7"/>
      <c r="S46" s="7"/>
      <c r="T46" s="7"/>
      <c r="U46" s="17"/>
    </row>
    <row r="47" spans="1:21">
      <c r="A47" t="s">
        <v>41</v>
      </c>
      <c r="B47" s="10">
        <v>225141.67069305526</v>
      </c>
      <c r="C47" s="7">
        <v>11012.344450360724</v>
      </c>
      <c r="D47" s="7">
        <v>0</v>
      </c>
      <c r="E47" s="7">
        <v>0</v>
      </c>
      <c r="F47" s="17">
        <f t="shared" si="1"/>
        <v>236154.01514341598</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14974.236735997925</v>
      </c>
      <c r="C49" s="7">
        <v>0</v>
      </c>
      <c r="D49" s="7">
        <v>1018.0865885607236</v>
      </c>
      <c r="E49" s="7">
        <v>0</v>
      </c>
      <c r="F49" s="17">
        <f t="shared" si="1"/>
        <v>15992.323324558649</v>
      </c>
      <c r="K49" s="10">
        <v>200000</v>
      </c>
      <c r="L49" s="7">
        <v>0</v>
      </c>
      <c r="M49" s="7"/>
      <c r="N49" s="7">
        <v>0</v>
      </c>
      <c r="O49" s="7">
        <v>0</v>
      </c>
      <c r="P49" s="7"/>
      <c r="Q49" s="7">
        <v>53000</v>
      </c>
      <c r="R49" s="7">
        <v>0</v>
      </c>
      <c r="S49" s="7"/>
      <c r="T49" s="7">
        <v>0</v>
      </c>
      <c r="U49" s="17">
        <v>0</v>
      </c>
    </row>
    <row r="50" spans="1:21">
      <c r="A50" t="s">
        <v>44</v>
      </c>
      <c r="B50" s="10">
        <v>91112.763629235793</v>
      </c>
      <c r="C50" s="7">
        <v>0</v>
      </c>
      <c r="D50" s="7">
        <v>0</v>
      </c>
      <c r="E50" s="7">
        <v>0</v>
      </c>
      <c r="F50" s="17">
        <f t="shared" si="1"/>
        <v>91112.763629235793</v>
      </c>
      <c r="K50" s="10">
        <v>65397</v>
      </c>
      <c r="L50" s="7">
        <v>151779.33250000002</v>
      </c>
      <c r="M50" s="7"/>
      <c r="N50" s="7">
        <v>0</v>
      </c>
      <c r="O50" s="7">
        <v>0</v>
      </c>
      <c r="P50" s="7"/>
      <c r="Q50" s="7">
        <v>1359712</v>
      </c>
      <c r="R50" s="7">
        <v>1266259.6675</v>
      </c>
      <c r="S50" s="7"/>
      <c r="T50" s="7">
        <v>0</v>
      </c>
      <c r="U50" s="17">
        <v>0</v>
      </c>
    </row>
    <row r="51" spans="1:21">
      <c r="A51" t="s">
        <v>45</v>
      </c>
      <c r="B51" s="10">
        <v>0</v>
      </c>
      <c r="C51" s="7">
        <v>0</v>
      </c>
      <c r="D51" s="7">
        <v>103.51763197063582</v>
      </c>
      <c r="E51" s="7">
        <v>0</v>
      </c>
      <c r="F51" s="17">
        <f t="shared" si="1"/>
        <v>103.51763197063582</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52825.822164574172</v>
      </c>
      <c r="C53" s="7">
        <v>408.3642482788182</v>
      </c>
      <c r="D53" s="7">
        <v>2544.387564625169</v>
      </c>
      <c r="E53" s="7">
        <v>0</v>
      </c>
      <c r="F53" s="17">
        <f t="shared" si="1"/>
        <v>55778.573977478161</v>
      </c>
      <c r="K53" s="10">
        <v>560269</v>
      </c>
      <c r="L53" s="7">
        <v>382889</v>
      </c>
      <c r="M53" s="7"/>
      <c r="N53" s="7">
        <v>4588</v>
      </c>
      <c r="O53" s="7">
        <v>13137</v>
      </c>
      <c r="P53" s="7"/>
      <c r="Q53" s="7">
        <v>333201</v>
      </c>
      <c r="R53" s="7">
        <v>383000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636224.21759075345</v>
      </c>
      <c r="C55" s="7">
        <v>24611.934955144432</v>
      </c>
      <c r="D55" s="7">
        <v>99066.330335389357</v>
      </c>
      <c r="E55" s="7">
        <v>0</v>
      </c>
      <c r="F55" s="17">
        <f t="shared" si="1"/>
        <v>759902.48288128723</v>
      </c>
      <c r="K55" s="10">
        <v>606438</v>
      </c>
      <c r="L55" s="7">
        <v>128826</v>
      </c>
      <c r="M55" s="7"/>
      <c r="N55" s="7">
        <v>73076</v>
      </c>
      <c r="O55" s="7">
        <v>140773</v>
      </c>
      <c r="P55" s="7"/>
      <c r="Q55" s="7">
        <v>3240504</v>
      </c>
      <c r="R55" s="7">
        <v>3765849</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1323708.7036176065</v>
      </c>
      <c r="C60" s="7">
        <f>SUM(C6:C58)</f>
        <v>77271.220772817527</v>
      </c>
      <c r="D60" s="7">
        <f>SUM(D6:D58)</f>
        <v>385149.8856095752</v>
      </c>
      <c r="E60" s="7">
        <f>SUM(E6:E58)</f>
        <v>0</v>
      </c>
      <c r="F60" s="17">
        <f>SUM(F6:F58)</f>
        <v>1786129.8099999994</v>
      </c>
      <c r="K60" s="10">
        <f>SUM(K6:K58)</f>
        <v>5231876</v>
      </c>
      <c r="L60" s="7">
        <f>SUM(L6:L58)</f>
        <v>2288000.2824999997</v>
      </c>
      <c r="M60" s="7"/>
      <c r="N60" s="7">
        <f>SUM(N6:N58)</f>
        <v>214664</v>
      </c>
      <c r="O60" s="7">
        <f>SUM(O6:O58)</f>
        <v>154649.16</v>
      </c>
      <c r="P60" s="7"/>
      <c r="Q60" s="7">
        <f>SUM(Q6:Q58)</f>
        <v>13338293</v>
      </c>
      <c r="R60" s="7">
        <f>SUM(R6:R58)</f>
        <v>5683448.6675000004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Italic"George Washington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703494.25325599464</v>
      </c>
      <c r="C10" s="7">
        <v>0</v>
      </c>
      <c r="D10" s="7">
        <v>59498.78</v>
      </c>
      <c r="E10" s="7">
        <v>0</v>
      </c>
      <c r="F10" s="17">
        <f t="shared" si="0"/>
        <v>762993.03325599467</v>
      </c>
      <c r="H10" s="4" t="s">
        <v>65</v>
      </c>
      <c r="I10" s="14">
        <v>324717.77400000003</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272265.99</v>
      </c>
      <c r="K13" s="10"/>
      <c r="L13" s="7"/>
      <c r="M13" s="7"/>
      <c r="N13" s="7"/>
      <c r="O13" s="7"/>
      <c r="P13" s="7"/>
      <c r="Q13" s="7"/>
      <c r="R13" s="7"/>
      <c r="S13" s="7"/>
      <c r="T13" s="7"/>
      <c r="U13" s="17"/>
    </row>
    <row r="14" spans="1:21">
      <c r="A14" t="s">
        <v>8</v>
      </c>
      <c r="B14" s="10">
        <v>1345.999285999553</v>
      </c>
      <c r="C14" s="7">
        <v>0</v>
      </c>
      <c r="D14" s="7">
        <v>0</v>
      </c>
      <c r="E14" s="7">
        <v>0</v>
      </c>
      <c r="F14" s="17">
        <f t="shared" si="0"/>
        <v>1345.999285999553</v>
      </c>
      <c r="H14" s="4" t="s">
        <v>68</v>
      </c>
      <c r="I14" s="14">
        <v>323349.86</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752175.60099999991</v>
      </c>
      <c r="K15" s="10"/>
      <c r="L15" s="7"/>
      <c r="M15" s="7"/>
      <c r="N15" s="7"/>
      <c r="O15" s="7"/>
      <c r="P15" s="7"/>
      <c r="Q15" s="7"/>
      <c r="R15" s="7"/>
      <c r="S15" s="7"/>
      <c r="T15" s="7"/>
      <c r="U15" s="17"/>
    </row>
    <row r="16" spans="1:21">
      <c r="A16" t="s">
        <v>10</v>
      </c>
      <c r="B16" s="10">
        <v>28105.129683314815</v>
      </c>
      <c r="C16" s="7">
        <v>0</v>
      </c>
      <c r="D16" s="7">
        <v>0</v>
      </c>
      <c r="E16" s="7">
        <v>0</v>
      </c>
      <c r="F16" s="17">
        <f t="shared" si="0"/>
        <v>28105.129683314815</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160426.42287862283</v>
      </c>
      <c r="C19" s="7">
        <v>12328.5</v>
      </c>
      <c r="D19" s="7">
        <v>0</v>
      </c>
      <c r="E19" s="7">
        <v>0</v>
      </c>
      <c r="F19" s="17">
        <f t="shared" si="0"/>
        <v>172754.92287862283</v>
      </c>
      <c r="H19" s="4" t="s">
        <v>72</v>
      </c>
      <c r="I19" s="14">
        <v>0</v>
      </c>
      <c r="K19" s="10">
        <v>200000</v>
      </c>
      <c r="L19" s="7">
        <v>0</v>
      </c>
      <c r="M19" s="7"/>
      <c r="N19" s="7">
        <v>100000</v>
      </c>
      <c r="O19" s="7">
        <v>0</v>
      </c>
      <c r="P19" s="7"/>
      <c r="Q19" s="7">
        <v>0</v>
      </c>
      <c r="R19" s="7">
        <v>0</v>
      </c>
      <c r="S19" s="7"/>
      <c r="T19" s="7">
        <v>0</v>
      </c>
      <c r="U19" s="17">
        <v>0</v>
      </c>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-23750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15130.635679395515</v>
      </c>
      <c r="C24" s="7">
        <v>0</v>
      </c>
      <c r="D24" s="7">
        <v>0</v>
      </c>
      <c r="E24" s="7">
        <v>0</v>
      </c>
      <c r="F24" s="17">
        <f t="shared" si="0"/>
        <v>15130.635679395515</v>
      </c>
      <c r="H24" s="4" t="s">
        <v>77</v>
      </c>
      <c r="I24" s="14">
        <v>154160.03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79.999957563123516</v>
      </c>
      <c r="C26" s="7">
        <v>0</v>
      </c>
      <c r="D26" s="7">
        <v>0</v>
      </c>
      <c r="E26" s="7">
        <v>0</v>
      </c>
      <c r="F26" s="17">
        <f t="shared" si="0"/>
        <v>79.999957563123516</v>
      </c>
      <c r="H26" s="4" t="s">
        <v>78</v>
      </c>
      <c r="I26" s="14">
        <f>SUM(I10:I16)-SUM(I19:I24)</f>
        <v>1542099.1949999998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1542099.1949999998</v>
      </c>
      <c r="K27" s="10"/>
      <c r="L27" s="7"/>
      <c r="M27" s="7"/>
      <c r="N27" s="7"/>
      <c r="O27" s="7"/>
      <c r="P27" s="7"/>
      <c r="Q27" s="7"/>
      <c r="R27" s="7"/>
      <c r="S27" s="7"/>
      <c r="T27" s="7"/>
      <c r="U27" s="17"/>
    </row>
    <row r="28" spans="1:21">
      <c r="A28" t="s">
        <v>22</v>
      </c>
      <c r="B28" s="10">
        <v>72521.971491967299</v>
      </c>
      <c r="C28" s="7">
        <v>0</v>
      </c>
      <c r="D28" s="7">
        <v>0</v>
      </c>
      <c r="E28" s="7">
        <v>0</v>
      </c>
      <c r="F28" s="17">
        <f t="shared" si="0"/>
        <v>72521.971491967299</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3622.9989693143625</v>
      </c>
      <c r="C30" s="7">
        <v>0</v>
      </c>
      <c r="D30" s="7">
        <v>0</v>
      </c>
      <c r="E30" s="7">
        <v>0</v>
      </c>
      <c r="F30" s="17">
        <f t="shared" si="0"/>
        <v>3622.9989693143625</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3117.998346022739</v>
      </c>
      <c r="C34" s="7">
        <v>0</v>
      </c>
      <c r="D34" s="7">
        <v>0</v>
      </c>
      <c r="E34" s="7">
        <v>0</v>
      </c>
      <c r="F34" s="17">
        <f t="shared" si="0"/>
        <v>3117.998346022739</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255065.58123451826</v>
      </c>
      <c r="C39" s="7">
        <v>0</v>
      </c>
      <c r="D39" s="7">
        <v>0</v>
      </c>
      <c r="E39" s="7">
        <v>0</v>
      </c>
      <c r="F39" s="17">
        <f t="shared" si="1"/>
        <v>255065.58123451826</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335.99982176511878</v>
      </c>
      <c r="C49" s="7">
        <v>0</v>
      </c>
      <c r="D49" s="7">
        <v>0</v>
      </c>
      <c r="E49" s="7">
        <v>0</v>
      </c>
      <c r="F49" s="17">
        <f t="shared" si="1"/>
        <v>335.99982176511878</v>
      </c>
      <c r="K49" s="10"/>
      <c r="L49" s="7"/>
      <c r="M49" s="7"/>
      <c r="N49" s="7"/>
      <c r="O49" s="7"/>
      <c r="P49" s="7"/>
      <c r="Q49" s="7"/>
      <c r="R49" s="7"/>
      <c r="S49" s="7"/>
      <c r="T49" s="7"/>
      <c r="U49" s="17"/>
    </row>
    <row r="50" spans="1:21">
      <c r="A50" t="s">
        <v>44</v>
      </c>
      <c r="B50" s="10">
        <v>227024.92439552175</v>
      </c>
      <c r="C50" s="7">
        <v>0</v>
      </c>
      <c r="D50" s="7">
        <v>0</v>
      </c>
      <c r="E50" s="7">
        <v>0</v>
      </c>
      <c r="F50" s="17">
        <f t="shared" si="1"/>
        <v>227024.92439552175</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1470271.915</v>
      </c>
      <c r="C60" s="7">
        <f>SUM(C6:C58)</f>
        <v>12328.5</v>
      </c>
      <c r="D60" s="7">
        <f>SUM(D6:D58)</f>
        <v>59498.78</v>
      </c>
      <c r="E60" s="7">
        <f>SUM(E6:E58)</f>
        <v>0</v>
      </c>
      <c r="F60" s="17">
        <f>SUM(F6:F58)</f>
        <v>1542099.1949999998</v>
      </c>
      <c r="K60" s="10">
        <f>SUM(K6:K58)</f>
        <v>200000</v>
      </c>
      <c r="L60" s="7">
        <f>SUM(L6:L58)</f>
        <v>0</v>
      </c>
      <c r="M60" s="7"/>
      <c r="N60" s="7">
        <f>SUM(N6:N58)</f>
        <v>100000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Italic"Golden State Mutual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120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42351.184154984046</v>
      </c>
      <c r="C6" s="7">
        <v>335002.33840970043</v>
      </c>
      <c r="D6" s="7">
        <v>0</v>
      </c>
      <c r="E6" s="7">
        <v>0</v>
      </c>
      <c r="F6" s="17">
        <f t="shared" ref="F6:F37" si="0">SUM(B6:E6)</f>
        <v>377353.52256468451</v>
      </c>
      <c r="K6" s="10">
        <v>380000</v>
      </c>
      <c r="L6" s="7">
        <v>0</v>
      </c>
      <c r="M6" s="7"/>
      <c r="N6" s="7">
        <v>302720</v>
      </c>
      <c r="O6" s="7">
        <v>0</v>
      </c>
      <c r="P6" s="7"/>
      <c r="Q6" s="7">
        <v>0</v>
      </c>
      <c r="R6" s="7">
        <v>0</v>
      </c>
      <c r="S6" s="7"/>
      <c r="T6" s="7">
        <v>0</v>
      </c>
      <c r="U6" s="17">
        <v>0</v>
      </c>
    </row>
    <row r="7" spans="1:21">
      <c r="A7" t="s">
        <v>1</v>
      </c>
      <c r="B7" s="10">
        <v>31985.765165456913</v>
      </c>
      <c r="C7" s="7">
        <v>212606.65333956596</v>
      </c>
      <c r="D7" s="7">
        <v>0</v>
      </c>
      <c r="E7" s="7">
        <v>0</v>
      </c>
      <c r="F7" s="17">
        <f t="shared" si="0"/>
        <v>244592.41850502288</v>
      </c>
      <c r="H7" s="22"/>
      <c r="I7" s="24"/>
      <c r="K7" s="10">
        <v>80878</v>
      </c>
      <c r="L7" s="7">
        <v>14180</v>
      </c>
      <c r="M7" s="7"/>
      <c r="N7" s="7">
        <v>566741</v>
      </c>
      <c r="O7" s="7">
        <v>121990</v>
      </c>
      <c r="P7" s="7"/>
      <c r="Q7" s="7">
        <v>0</v>
      </c>
      <c r="R7" s="7">
        <v>0</v>
      </c>
      <c r="S7" s="7"/>
      <c r="T7" s="7">
        <v>2000</v>
      </c>
      <c r="U7" s="17">
        <v>0</v>
      </c>
    </row>
    <row r="8" spans="1:21">
      <c r="A8" t="s">
        <v>2</v>
      </c>
      <c r="B8" s="10">
        <v>384991.58407459024</v>
      </c>
      <c r="C8" s="7">
        <v>1113514.1228778195</v>
      </c>
      <c r="D8" s="7">
        <v>0</v>
      </c>
      <c r="E8" s="7">
        <v>0</v>
      </c>
      <c r="F8" s="17">
        <f t="shared" si="0"/>
        <v>1498505.7069524098</v>
      </c>
      <c r="H8" s="4" t="s">
        <v>64</v>
      </c>
      <c r="I8" s="13"/>
      <c r="K8" s="10">
        <v>559164</v>
      </c>
      <c r="L8" s="7">
        <v>0</v>
      </c>
      <c r="M8" s="7"/>
      <c r="N8" s="7">
        <v>3944426</v>
      </c>
      <c r="O8" s="7">
        <v>0</v>
      </c>
      <c r="P8" s="7"/>
      <c r="Q8" s="7">
        <v>0</v>
      </c>
      <c r="R8" s="7">
        <v>0</v>
      </c>
      <c r="S8" s="7"/>
      <c r="T8" s="7">
        <v>0</v>
      </c>
      <c r="U8" s="17">
        <v>0</v>
      </c>
    </row>
    <row r="9" spans="1:21">
      <c r="A9" t="s">
        <v>3</v>
      </c>
      <c r="B9" s="10">
        <v>65027.856950836227</v>
      </c>
      <c r="C9" s="7">
        <v>358002.609817344</v>
      </c>
      <c r="D9" s="7">
        <v>0</v>
      </c>
      <c r="E9" s="7">
        <v>0</v>
      </c>
      <c r="F9" s="17">
        <f t="shared" si="0"/>
        <v>423030.46676818025</v>
      </c>
      <c r="H9" s="4"/>
      <c r="I9" s="13"/>
      <c r="K9" s="10">
        <v>1149754</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600117017.6978991</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v>25200</v>
      </c>
      <c r="L11" s="7">
        <v>0</v>
      </c>
      <c r="M11" s="7"/>
      <c r="N11" s="7">
        <v>44800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65118.255533876574</v>
      </c>
      <c r="C13" s="7">
        <v>251418.65253503557</v>
      </c>
      <c r="D13" s="7">
        <v>0</v>
      </c>
      <c r="E13" s="7">
        <v>0</v>
      </c>
      <c r="F13" s="17">
        <f t="shared" si="0"/>
        <v>316536.90806891216</v>
      </c>
      <c r="H13" s="4" t="s">
        <v>67</v>
      </c>
      <c r="I13" s="14">
        <v>0</v>
      </c>
      <c r="K13" s="10">
        <v>209250</v>
      </c>
      <c r="L13" s="7">
        <v>0</v>
      </c>
      <c r="M13" s="7"/>
      <c r="N13" s="7">
        <v>627750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5385783.2781214798</v>
      </c>
      <c r="C15" s="7">
        <v>12416491.789688267</v>
      </c>
      <c r="D15" s="7">
        <v>0</v>
      </c>
      <c r="E15" s="7">
        <v>0</v>
      </c>
      <c r="F15" s="17">
        <f t="shared" si="0"/>
        <v>17802275.067809746</v>
      </c>
      <c r="H15" s="4" t="s">
        <v>69</v>
      </c>
      <c r="I15" s="14">
        <v>4487174.0299999984</v>
      </c>
      <c r="K15" s="10">
        <v>13095654</v>
      </c>
      <c r="L15" s="7">
        <v>0</v>
      </c>
      <c r="M15" s="7"/>
      <c r="N15" s="7">
        <v>26446748</v>
      </c>
      <c r="O15" s="7">
        <v>0</v>
      </c>
      <c r="P15" s="7"/>
      <c r="Q15" s="7">
        <v>0</v>
      </c>
      <c r="R15" s="7">
        <v>0</v>
      </c>
      <c r="S15" s="7"/>
      <c r="T15" s="7">
        <v>0</v>
      </c>
      <c r="U15" s="17">
        <v>0</v>
      </c>
    </row>
    <row r="16" spans="1:21">
      <c r="A16" t="s">
        <v>10</v>
      </c>
      <c r="B16" s="10">
        <v>319579.27579252882</v>
      </c>
      <c r="C16" s="7">
        <v>1218465.886813092</v>
      </c>
      <c r="D16" s="7">
        <v>0</v>
      </c>
      <c r="E16" s="7">
        <v>0</v>
      </c>
      <c r="F16" s="17">
        <f t="shared" si="0"/>
        <v>1538045.1626056209</v>
      </c>
      <c r="H16" s="4" t="s">
        <v>70</v>
      </c>
      <c r="I16" s="14">
        <v>0</v>
      </c>
      <c r="K16" s="10">
        <v>1064376</v>
      </c>
      <c r="L16" s="7">
        <v>0</v>
      </c>
      <c r="M16" s="7"/>
      <c r="N16" s="7">
        <v>3444406</v>
      </c>
      <c r="O16" s="7">
        <v>63866.17</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59467.812524807181</v>
      </c>
      <c r="C18" s="7">
        <v>441230.12076833082</v>
      </c>
      <c r="D18" s="7">
        <v>0</v>
      </c>
      <c r="E18" s="7">
        <v>0</v>
      </c>
      <c r="F18" s="17">
        <f t="shared" si="0"/>
        <v>500697.93329313799</v>
      </c>
      <c r="H18" s="4" t="s">
        <v>71</v>
      </c>
      <c r="I18" s="14"/>
      <c r="K18" s="10">
        <v>143772</v>
      </c>
      <c r="L18" s="7">
        <v>0</v>
      </c>
      <c r="M18" s="7"/>
      <c r="N18" s="7">
        <v>1411228</v>
      </c>
      <c r="O18" s="7">
        <v>0</v>
      </c>
      <c r="P18" s="7"/>
      <c r="Q18" s="7">
        <v>0</v>
      </c>
      <c r="R18" s="7">
        <v>0</v>
      </c>
      <c r="S18" s="7"/>
      <c r="T18" s="7">
        <v>0</v>
      </c>
      <c r="U18" s="17">
        <v>0</v>
      </c>
    </row>
    <row r="19" spans="1:21">
      <c r="A19" t="s">
        <v>13</v>
      </c>
      <c r="B19" s="10">
        <v>2414415.8362723915</v>
      </c>
      <c r="C19" s="7">
        <v>7982068.4748411225</v>
      </c>
      <c r="D19" s="7">
        <v>0</v>
      </c>
      <c r="E19" s="7">
        <v>0</v>
      </c>
      <c r="F19" s="17">
        <f t="shared" si="0"/>
        <v>10396484.311113514</v>
      </c>
      <c r="H19" s="4" t="s">
        <v>72</v>
      </c>
      <c r="I19" s="14">
        <v>269312048.6978991</v>
      </c>
      <c r="K19" s="10">
        <v>6250000</v>
      </c>
      <c r="L19" s="7">
        <v>2700000</v>
      </c>
      <c r="M19" s="7"/>
      <c r="N19" s="7">
        <v>22000000</v>
      </c>
      <c r="O19" s="7">
        <v>9150000</v>
      </c>
      <c r="P19" s="7"/>
      <c r="Q19" s="7">
        <v>0</v>
      </c>
      <c r="R19" s="7">
        <v>0</v>
      </c>
      <c r="S19" s="7"/>
      <c r="T19" s="7">
        <v>0</v>
      </c>
      <c r="U19" s="17">
        <v>0</v>
      </c>
    </row>
    <row r="20" spans="1:21">
      <c r="A20" t="s">
        <v>14</v>
      </c>
      <c r="B20" s="10">
        <v>1449740.0399374277</v>
      </c>
      <c r="C20" s="7">
        <v>3963534.8438925189</v>
      </c>
      <c r="D20" s="7">
        <v>0</v>
      </c>
      <c r="E20" s="7">
        <v>0</v>
      </c>
      <c r="F20" s="17">
        <f t="shared" si="0"/>
        <v>5413274.8838299466</v>
      </c>
      <c r="H20" s="4" t="s">
        <v>73</v>
      </c>
      <c r="I20" s="14">
        <v>151440725.99999994</v>
      </c>
      <c r="K20" s="10">
        <v>1400894</v>
      </c>
      <c r="L20" s="7">
        <v>0</v>
      </c>
      <c r="M20" s="7"/>
      <c r="N20" s="7">
        <v>2499899</v>
      </c>
      <c r="O20" s="7">
        <v>0</v>
      </c>
      <c r="P20" s="7"/>
      <c r="Q20" s="7">
        <v>0</v>
      </c>
      <c r="R20" s="7">
        <v>0</v>
      </c>
      <c r="S20" s="7"/>
      <c r="T20" s="7">
        <v>0</v>
      </c>
      <c r="U20" s="17">
        <v>0</v>
      </c>
    </row>
    <row r="21" spans="1:21">
      <c r="A21" t="s">
        <v>15</v>
      </c>
      <c r="B21" s="10">
        <v>1361393.78978557</v>
      </c>
      <c r="C21" s="7">
        <v>2752530.8549450152</v>
      </c>
      <c r="D21" s="7">
        <v>0</v>
      </c>
      <c r="E21" s="7">
        <v>0</v>
      </c>
      <c r="F21" s="17">
        <f t="shared" si="0"/>
        <v>4113924.6447305852</v>
      </c>
      <c r="H21" s="4" t="s">
        <v>74</v>
      </c>
      <c r="I21" s="14"/>
      <c r="K21" s="10">
        <v>2356028</v>
      </c>
      <c r="L21" s="7">
        <v>0</v>
      </c>
      <c r="M21" s="7"/>
      <c r="N21" s="7">
        <v>6511318</v>
      </c>
      <c r="O21" s="7">
        <v>0</v>
      </c>
      <c r="P21" s="7"/>
      <c r="Q21" s="7">
        <v>0</v>
      </c>
      <c r="R21" s="7">
        <v>0</v>
      </c>
      <c r="S21" s="7"/>
      <c r="T21" s="7">
        <v>0</v>
      </c>
      <c r="U21" s="17">
        <v>0</v>
      </c>
    </row>
    <row r="22" spans="1:21">
      <c r="A22" t="s">
        <v>16</v>
      </c>
      <c r="B22" s="10">
        <v>375332.82701936137</v>
      </c>
      <c r="C22" s="7">
        <v>1584601.2385059642</v>
      </c>
      <c r="D22" s="7">
        <v>0</v>
      </c>
      <c r="E22" s="7">
        <v>0</v>
      </c>
      <c r="F22" s="17">
        <f t="shared" si="0"/>
        <v>1959934.0655253255</v>
      </c>
      <c r="H22" s="4" t="s">
        <v>75</v>
      </c>
      <c r="I22" s="14">
        <v>0</v>
      </c>
      <c r="K22" s="10">
        <v>675000</v>
      </c>
      <c r="L22" s="7">
        <v>0</v>
      </c>
      <c r="M22" s="7"/>
      <c r="N22" s="7">
        <v>2950000</v>
      </c>
      <c r="O22" s="7">
        <v>0</v>
      </c>
      <c r="P22" s="7"/>
      <c r="Q22" s="7">
        <v>0</v>
      </c>
      <c r="R22" s="7">
        <v>0</v>
      </c>
      <c r="S22" s="7"/>
      <c r="T22" s="7">
        <v>0</v>
      </c>
      <c r="U22" s="17">
        <v>0</v>
      </c>
    </row>
    <row r="23" spans="1:21">
      <c r="A23" t="s">
        <v>17</v>
      </c>
      <c r="B23" s="10">
        <v>255101.5946271281</v>
      </c>
      <c r="C23" s="7">
        <v>809748.54871133366</v>
      </c>
      <c r="D23" s="7">
        <v>0</v>
      </c>
      <c r="E23" s="7">
        <v>0</v>
      </c>
      <c r="F23" s="17">
        <f t="shared" si="0"/>
        <v>1064850.1433384619</v>
      </c>
      <c r="H23" s="4" t="s">
        <v>76</v>
      </c>
      <c r="I23" s="14"/>
      <c r="K23" s="10">
        <v>734080</v>
      </c>
      <c r="L23" s="7">
        <v>230086.07</v>
      </c>
      <c r="M23" s="7"/>
      <c r="N23" s="7">
        <v>2171198</v>
      </c>
      <c r="O23" s="7">
        <v>636093.96</v>
      </c>
      <c r="P23" s="7"/>
      <c r="Q23" s="7">
        <v>0</v>
      </c>
      <c r="R23" s="7">
        <v>0</v>
      </c>
      <c r="S23" s="7"/>
      <c r="T23" s="7">
        <v>0</v>
      </c>
      <c r="U23" s="17">
        <v>0</v>
      </c>
    </row>
    <row r="24" spans="1:21">
      <c r="A24" t="s">
        <v>18</v>
      </c>
      <c r="B24" s="10">
        <v>0</v>
      </c>
      <c r="C24" s="7">
        <v>0</v>
      </c>
      <c r="D24" s="7">
        <v>0</v>
      </c>
      <c r="E24" s="7">
        <v>0</v>
      </c>
      <c r="F24" s="17">
        <f t="shared" si="0"/>
        <v>0</v>
      </c>
      <c r="H24" s="4" t="s">
        <v>77</v>
      </c>
      <c r="I24" s="14">
        <v>76974408.000000015</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161864.23167969225</v>
      </c>
      <c r="C26" s="7">
        <v>2213896.9951360649</v>
      </c>
      <c r="D26" s="7">
        <v>0</v>
      </c>
      <c r="E26" s="7">
        <v>0</v>
      </c>
      <c r="F26" s="17">
        <f t="shared" si="0"/>
        <v>2375761.2268157573</v>
      </c>
      <c r="H26" s="4" t="s">
        <v>78</v>
      </c>
      <c r="I26" s="14">
        <f>SUM(I10:I16)-SUM(I19:I24)</f>
        <v>106877009.03000003</v>
      </c>
      <c r="K26" s="10">
        <v>1031000</v>
      </c>
      <c r="L26" s="7">
        <v>0</v>
      </c>
      <c r="M26" s="7"/>
      <c r="N26" s="7">
        <v>4319000</v>
      </c>
      <c r="O26" s="7">
        <v>0</v>
      </c>
      <c r="P26" s="7"/>
      <c r="Q26" s="7">
        <v>0</v>
      </c>
      <c r="R26" s="7">
        <v>0</v>
      </c>
      <c r="S26" s="7"/>
      <c r="T26" s="7">
        <v>0</v>
      </c>
      <c r="U26" s="17">
        <v>0</v>
      </c>
    </row>
    <row r="27" spans="1:21">
      <c r="A27" t="s">
        <v>21</v>
      </c>
      <c r="B27" s="10">
        <v>62156.412757467027</v>
      </c>
      <c r="C27" s="7">
        <v>2935528.7959339567</v>
      </c>
      <c r="D27" s="7">
        <v>0</v>
      </c>
      <c r="E27" s="7">
        <v>0</v>
      </c>
      <c r="F27" s="17">
        <f t="shared" si="0"/>
        <v>2997685.2086914238</v>
      </c>
      <c r="H27" s="4" t="s">
        <v>79</v>
      </c>
      <c r="I27" s="14">
        <f>+F60</f>
        <v>106877009.03000003</v>
      </c>
      <c r="K27" s="10">
        <v>275000</v>
      </c>
      <c r="L27" s="7">
        <v>0</v>
      </c>
      <c r="M27" s="7"/>
      <c r="N27" s="7">
        <v>7235000</v>
      </c>
      <c r="O27" s="7">
        <v>0</v>
      </c>
      <c r="P27" s="7"/>
      <c r="Q27" s="7">
        <v>0</v>
      </c>
      <c r="R27" s="7">
        <v>0</v>
      </c>
      <c r="S27" s="7"/>
      <c r="T27" s="7">
        <v>0</v>
      </c>
      <c r="U27" s="17">
        <v>0</v>
      </c>
    </row>
    <row r="28" spans="1:21">
      <c r="A28" t="s">
        <v>22</v>
      </c>
      <c r="B28" s="10">
        <v>2364086.0891201254</v>
      </c>
      <c r="C28" s="7">
        <v>6748361.0512613682</v>
      </c>
      <c r="D28" s="7">
        <v>0</v>
      </c>
      <c r="E28" s="7">
        <v>0</v>
      </c>
      <c r="F28" s="17">
        <f t="shared" si="0"/>
        <v>9112447.1403814927</v>
      </c>
      <c r="H28" s="23"/>
      <c r="I28" s="25"/>
      <c r="K28" s="10">
        <v>5400000</v>
      </c>
      <c r="L28" s="7">
        <v>1980000</v>
      </c>
      <c r="M28" s="7"/>
      <c r="N28" s="7">
        <v>15300000</v>
      </c>
      <c r="O28" s="7">
        <v>3400000</v>
      </c>
      <c r="P28" s="7"/>
      <c r="Q28" s="7">
        <v>0</v>
      </c>
      <c r="R28" s="7">
        <v>0</v>
      </c>
      <c r="S28" s="7"/>
      <c r="T28" s="7">
        <v>0</v>
      </c>
      <c r="U28" s="17">
        <v>0</v>
      </c>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20475.020537033637</v>
      </c>
      <c r="C30" s="7">
        <v>276302.32802761183</v>
      </c>
      <c r="D30" s="7">
        <v>0</v>
      </c>
      <c r="E30" s="7">
        <v>0</v>
      </c>
      <c r="F30" s="17">
        <f t="shared" si="0"/>
        <v>296777.34856464545</v>
      </c>
      <c r="K30" s="10">
        <v>134576</v>
      </c>
      <c r="L30" s="7">
        <v>0</v>
      </c>
      <c r="M30" s="7"/>
      <c r="N30" s="7">
        <v>764463</v>
      </c>
      <c r="O30" s="7">
        <v>0</v>
      </c>
      <c r="P30" s="7"/>
      <c r="Q30" s="7">
        <v>0</v>
      </c>
      <c r="R30" s="7">
        <v>0</v>
      </c>
      <c r="S30" s="7"/>
      <c r="T30" s="7">
        <v>0</v>
      </c>
      <c r="U30" s="17">
        <v>0</v>
      </c>
    </row>
    <row r="31" spans="1:21">
      <c r="A31" t="s">
        <v>25</v>
      </c>
      <c r="B31" s="10">
        <v>616757.65675487963</v>
      </c>
      <c r="C31" s="7">
        <v>3735932.9605736742</v>
      </c>
      <c r="D31" s="7">
        <v>0</v>
      </c>
      <c r="E31" s="7">
        <v>0</v>
      </c>
      <c r="F31" s="17">
        <f t="shared" si="0"/>
        <v>4352690.6173285535</v>
      </c>
      <c r="K31" s="10">
        <v>1502267</v>
      </c>
      <c r="L31" s="7">
        <v>0</v>
      </c>
      <c r="M31" s="7"/>
      <c r="N31" s="7">
        <v>7950910</v>
      </c>
      <c r="O31" s="7">
        <v>0</v>
      </c>
      <c r="P31" s="7"/>
      <c r="Q31" s="7">
        <v>0</v>
      </c>
      <c r="R31" s="7">
        <v>0</v>
      </c>
      <c r="S31" s="7"/>
      <c r="T31" s="7">
        <v>0</v>
      </c>
      <c r="U31" s="17">
        <v>0</v>
      </c>
    </row>
    <row r="32" spans="1:21">
      <c r="A32" t="s">
        <v>26</v>
      </c>
      <c r="B32" s="10">
        <v>272412.81726443081</v>
      </c>
      <c r="C32" s="7">
        <v>243665.17148899683</v>
      </c>
      <c r="D32" s="7">
        <v>0</v>
      </c>
      <c r="E32" s="7">
        <v>0</v>
      </c>
      <c r="F32" s="17">
        <f t="shared" si="0"/>
        <v>516077.98875342763</v>
      </c>
      <c r="K32" s="10">
        <v>1580000</v>
      </c>
      <c r="L32" s="7">
        <v>0</v>
      </c>
      <c r="M32" s="7"/>
      <c r="N32" s="7">
        <v>484000</v>
      </c>
      <c r="O32" s="7">
        <v>0</v>
      </c>
      <c r="P32" s="7"/>
      <c r="Q32" s="7">
        <v>0</v>
      </c>
      <c r="R32" s="7">
        <v>0</v>
      </c>
      <c r="S32" s="7"/>
      <c r="T32" s="7">
        <v>0</v>
      </c>
      <c r="U32" s="17">
        <v>0</v>
      </c>
    </row>
    <row r="33" spans="1:21">
      <c r="A33" t="s">
        <v>27</v>
      </c>
      <c r="B33" s="10">
        <v>450932.4726943248</v>
      </c>
      <c r="C33" s="7">
        <v>1415837.3710346655</v>
      </c>
      <c r="D33" s="7">
        <v>0</v>
      </c>
      <c r="E33" s="7">
        <v>0</v>
      </c>
      <c r="F33" s="17">
        <f t="shared" si="0"/>
        <v>1866769.8437289903</v>
      </c>
      <c r="K33" s="10">
        <v>1723246</v>
      </c>
      <c r="L33" s="7">
        <v>0</v>
      </c>
      <c r="M33" s="7"/>
      <c r="N33" s="7">
        <v>3764563</v>
      </c>
      <c r="O33" s="7">
        <v>0</v>
      </c>
      <c r="P33" s="7"/>
      <c r="Q33" s="7">
        <v>0</v>
      </c>
      <c r="R33" s="7">
        <v>0</v>
      </c>
      <c r="S33" s="7"/>
      <c r="T33" s="7">
        <v>0</v>
      </c>
      <c r="U33" s="17">
        <v>0</v>
      </c>
    </row>
    <row r="34" spans="1:21">
      <c r="A34" t="s">
        <v>28</v>
      </c>
      <c r="B34" s="10">
        <v>12499.38528635948</v>
      </c>
      <c r="C34" s="7">
        <v>236858.17511121029</v>
      </c>
      <c r="D34" s="7">
        <v>0</v>
      </c>
      <c r="E34" s="7">
        <v>0</v>
      </c>
      <c r="F34" s="17">
        <f t="shared" si="0"/>
        <v>249357.56039756979</v>
      </c>
      <c r="K34" s="10">
        <v>49500</v>
      </c>
      <c r="L34" s="7">
        <v>0</v>
      </c>
      <c r="M34" s="7"/>
      <c r="N34" s="7">
        <v>649800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67752.907172698673</v>
      </c>
      <c r="C37" s="7">
        <v>200583.75048994666</v>
      </c>
      <c r="D37" s="7">
        <v>0</v>
      </c>
      <c r="E37" s="7">
        <v>0</v>
      </c>
      <c r="F37" s="17">
        <f t="shared" si="0"/>
        <v>268336.65766264533</v>
      </c>
      <c r="K37" s="10">
        <v>100000</v>
      </c>
      <c r="L37" s="7">
        <v>0</v>
      </c>
      <c r="M37" s="7"/>
      <c r="N37" s="7">
        <v>301563</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406859.67018639785</v>
      </c>
      <c r="C39" s="7">
        <v>3041611.5206919876</v>
      </c>
      <c r="D39" s="7">
        <v>0</v>
      </c>
      <c r="E39" s="7">
        <v>0</v>
      </c>
      <c r="F39" s="17">
        <f t="shared" si="1"/>
        <v>3448471.1908783857</v>
      </c>
      <c r="K39" s="10">
        <v>1050000</v>
      </c>
      <c r="L39" s="7">
        <v>419000</v>
      </c>
      <c r="M39" s="7"/>
      <c r="N39" s="7">
        <v>7950000</v>
      </c>
      <c r="O39" s="7">
        <v>3181000</v>
      </c>
      <c r="P39" s="7"/>
      <c r="Q39" s="7">
        <v>0</v>
      </c>
      <c r="R39" s="7">
        <v>0</v>
      </c>
      <c r="S39" s="7"/>
      <c r="T39" s="7">
        <v>0</v>
      </c>
      <c r="U39" s="17">
        <v>0</v>
      </c>
    </row>
    <row r="40" spans="1:21">
      <c r="A40" t="s">
        <v>34</v>
      </c>
      <c r="B40" s="10">
        <v>169755.98045247543</v>
      </c>
      <c r="C40" s="7">
        <v>935825.93888663664</v>
      </c>
      <c r="D40" s="7">
        <v>0</v>
      </c>
      <c r="E40" s="7">
        <v>0</v>
      </c>
      <c r="F40" s="17">
        <f t="shared" si="1"/>
        <v>1105581.919339112</v>
      </c>
      <c r="K40" s="10">
        <v>455036</v>
      </c>
      <c r="L40" s="7">
        <v>0</v>
      </c>
      <c r="M40" s="7"/>
      <c r="N40" s="7">
        <v>2567241</v>
      </c>
      <c r="O40" s="7">
        <v>0</v>
      </c>
      <c r="P40" s="7"/>
      <c r="Q40" s="7">
        <v>0</v>
      </c>
      <c r="R40" s="7">
        <v>0</v>
      </c>
      <c r="S40" s="7"/>
      <c r="T40" s="7">
        <v>0</v>
      </c>
      <c r="U40" s="17">
        <v>0</v>
      </c>
    </row>
    <row r="41" spans="1:21">
      <c r="A41" t="s">
        <v>35</v>
      </c>
      <c r="B41" s="10">
        <v>2074986.1306247795</v>
      </c>
      <c r="C41" s="7">
        <v>9024593.5514706783</v>
      </c>
      <c r="D41" s="7">
        <v>0</v>
      </c>
      <c r="E41" s="7">
        <v>0</v>
      </c>
      <c r="F41" s="17">
        <f t="shared" si="1"/>
        <v>11099579.682095457</v>
      </c>
      <c r="K41" s="10">
        <v>2865000</v>
      </c>
      <c r="L41" s="7">
        <v>0</v>
      </c>
      <c r="M41" s="7"/>
      <c r="N41" s="7">
        <v>12435000</v>
      </c>
      <c r="O41" s="7">
        <v>0</v>
      </c>
      <c r="P41" s="7"/>
      <c r="Q41" s="7">
        <v>0</v>
      </c>
      <c r="R41" s="7">
        <v>0</v>
      </c>
      <c r="S41" s="7"/>
      <c r="T41" s="7">
        <v>0</v>
      </c>
      <c r="U41" s="17">
        <v>0</v>
      </c>
    </row>
    <row r="42" spans="1:21">
      <c r="A42" t="s">
        <v>36</v>
      </c>
      <c r="B42" s="10">
        <v>797305.98684981687</v>
      </c>
      <c r="C42" s="7">
        <v>775208.11503700563</v>
      </c>
      <c r="D42" s="7">
        <v>0</v>
      </c>
      <c r="E42" s="7">
        <v>0</v>
      </c>
      <c r="F42" s="17">
        <f t="shared" si="1"/>
        <v>1572514.1018868224</v>
      </c>
      <c r="K42" s="10">
        <v>2250225</v>
      </c>
      <c r="L42" s="7">
        <v>688600</v>
      </c>
      <c r="M42" s="7"/>
      <c r="N42" s="7">
        <v>1790500</v>
      </c>
      <c r="O42" s="7">
        <v>661400</v>
      </c>
      <c r="P42" s="7"/>
      <c r="Q42" s="7">
        <v>0</v>
      </c>
      <c r="R42" s="7">
        <v>0</v>
      </c>
      <c r="S42" s="7"/>
      <c r="T42" s="7">
        <v>0</v>
      </c>
      <c r="U42" s="17">
        <v>0</v>
      </c>
    </row>
    <row r="43" spans="1:21">
      <c r="A43" t="s">
        <v>37</v>
      </c>
      <c r="B43" s="10">
        <v>253245.96457750243</v>
      </c>
      <c r="C43" s="7">
        <v>877511.06073099806</v>
      </c>
      <c r="D43" s="7">
        <v>0</v>
      </c>
      <c r="E43" s="7">
        <v>0</v>
      </c>
      <c r="F43" s="17">
        <f t="shared" si="1"/>
        <v>1130757.0253085005</v>
      </c>
      <c r="K43" s="10">
        <v>269155</v>
      </c>
      <c r="L43" s="7">
        <v>0</v>
      </c>
      <c r="M43" s="7"/>
      <c r="N43" s="7">
        <v>862577</v>
      </c>
      <c r="O43" s="7">
        <v>0</v>
      </c>
      <c r="P43" s="7"/>
      <c r="Q43" s="7">
        <v>0</v>
      </c>
      <c r="R43" s="7">
        <v>0</v>
      </c>
      <c r="S43" s="7"/>
      <c r="T43" s="7">
        <v>0</v>
      </c>
      <c r="U43" s="17">
        <v>0</v>
      </c>
    </row>
    <row r="44" spans="1:21">
      <c r="A44" t="s">
        <v>38</v>
      </c>
      <c r="B44" s="10">
        <v>542472.08496817295</v>
      </c>
      <c r="C44" s="7">
        <v>6563487.8321550637</v>
      </c>
      <c r="D44" s="7">
        <v>0</v>
      </c>
      <c r="E44" s="7">
        <v>0</v>
      </c>
      <c r="F44" s="17">
        <f t="shared" si="1"/>
        <v>7105959.9171232367</v>
      </c>
      <c r="K44" s="10">
        <v>9300</v>
      </c>
      <c r="L44" s="7">
        <v>0</v>
      </c>
      <c r="M44" s="7"/>
      <c r="N44" s="7">
        <v>16990700</v>
      </c>
      <c r="O44" s="7">
        <v>0</v>
      </c>
      <c r="P44" s="7"/>
      <c r="Q44" s="7">
        <v>0</v>
      </c>
      <c r="R44" s="7">
        <v>0</v>
      </c>
      <c r="S44" s="7"/>
      <c r="T44" s="7">
        <v>0</v>
      </c>
      <c r="U44" s="17">
        <v>0</v>
      </c>
    </row>
    <row r="45" spans="1:21">
      <c r="A45" t="s">
        <v>39</v>
      </c>
      <c r="B45" s="10">
        <v>0</v>
      </c>
      <c r="C45" s="7">
        <v>141.80396826897098</v>
      </c>
      <c r="D45" s="7">
        <v>0</v>
      </c>
      <c r="E45" s="7">
        <v>0</v>
      </c>
      <c r="F45" s="17">
        <f t="shared" si="1"/>
        <v>141.80396826897098</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247669.44484863593</v>
      </c>
      <c r="C47" s="7">
        <v>1097886.9814421672</v>
      </c>
      <c r="D47" s="7">
        <v>0</v>
      </c>
      <c r="E47" s="7">
        <v>0</v>
      </c>
      <c r="F47" s="17">
        <f t="shared" si="1"/>
        <v>1345556.4262908031</v>
      </c>
      <c r="K47" s="10">
        <v>330000</v>
      </c>
      <c r="L47" s="7">
        <v>0</v>
      </c>
      <c r="M47" s="7"/>
      <c r="N47" s="7">
        <v>2420000</v>
      </c>
      <c r="O47" s="7">
        <v>0</v>
      </c>
      <c r="P47" s="7"/>
      <c r="Q47" s="7">
        <v>0</v>
      </c>
      <c r="R47" s="7">
        <v>0</v>
      </c>
      <c r="S47" s="7"/>
      <c r="T47" s="7">
        <v>0</v>
      </c>
      <c r="U47" s="17">
        <v>0</v>
      </c>
    </row>
    <row r="48" spans="1:21">
      <c r="A48" t="s">
        <v>42</v>
      </c>
      <c r="B48" s="10">
        <v>176291.43499150249</v>
      </c>
      <c r="C48" s="7">
        <v>507616.68220395094</v>
      </c>
      <c r="D48" s="7">
        <v>0</v>
      </c>
      <c r="E48" s="7">
        <v>0</v>
      </c>
      <c r="F48" s="17">
        <f t="shared" si="1"/>
        <v>683908.11719545349</v>
      </c>
      <c r="K48" s="10">
        <v>1157792</v>
      </c>
      <c r="L48" s="7">
        <v>958991</v>
      </c>
      <c r="M48" s="7"/>
      <c r="N48" s="7">
        <v>2614740</v>
      </c>
      <c r="O48" s="7">
        <v>1767139</v>
      </c>
      <c r="P48" s="7"/>
      <c r="Q48" s="7">
        <v>0</v>
      </c>
      <c r="R48" s="7">
        <v>0</v>
      </c>
      <c r="S48" s="7"/>
      <c r="T48" s="7">
        <v>0</v>
      </c>
      <c r="U48" s="17">
        <v>0</v>
      </c>
    </row>
    <row r="49" spans="1:21">
      <c r="A49" t="s">
        <v>43</v>
      </c>
      <c r="B49" s="10">
        <v>492524.89182739332</v>
      </c>
      <c r="C49" s="7">
        <v>827782.31033327582</v>
      </c>
      <c r="D49" s="7">
        <v>0</v>
      </c>
      <c r="E49" s="7">
        <v>0</v>
      </c>
      <c r="F49" s="17">
        <f t="shared" si="1"/>
        <v>1320307.202160669</v>
      </c>
      <c r="K49" s="10">
        <v>565000</v>
      </c>
      <c r="L49" s="7">
        <v>0</v>
      </c>
      <c r="M49" s="7"/>
      <c r="N49" s="7">
        <v>935000</v>
      </c>
      <c r="O49" s="7">
        <v>0</v>
      </c>
      <c r="P49" s="7"/>
      <c r="Q49" s="7">
        <v>0</v>
      </c>
      <c r="R49" s="7">
        <v>0</v>
      </c>
      <c r="S49" s="7"/>
      <c r="T49" s="7">
        <v>0</v>
      </c>
      <c r="U49" s="17">
        <v>0</v>
      </c>
    </row>
    <row r="50" spans="1:21">
      <c r="A50" t="s">
        <v>44</v>
      </c>
      <c r="B50" s="10">
        <v>420357.00555685395</v>
      </c>
      <c r="C50" s="7">
        <v>3649116.9423565557</v>
      </c>
      <c r="D50" s="7">
        <v>0</v>
      </c>
      <c r="E50" s="7">
        <v>0</v>
      </c>
      <c r="F50" s="17">
        <f t="shared" si="1"/>
        <v>4069473.9479134097</v>
      </c>
      <c r="K50" s="10">
        <v>9411167</v>
      </c>
      <c r="L50" s="7">
        <v>2959943</v>
      </c>
      <c r="M50" s="7"/>
      <c r="N50" s="7">
        <v>0</v>
      </c>
      <c r="O50" s="7">
        <v>0</v>
      </c>
      <c r="P50" s="7"/>
      <c r="Q50" s="7">
        <v>0</v>
      </c>
      <c r="R50" s="7">
        <v>0</v>
      </c>
      <c r="S50" s="7"/>
      <c r="T50" s="7">
        <v>0</v>
      </c>
      <c r="U50" s="17">
        <v>0</v>
      </c>
    </row>
    <row r="51" spans="1:21">
      <c r="A51" t="s">
        <v>45</v>
      </c>
      <c r="B51" s="10">
        <v>103690.20884614484</v>
      </c>
      <c r="C51" s="7">
        <v>507852.38501166127</v>
      </c>
      <c r="D51" s="7">
        <v>0</v>
      </c>
      <c r="E51" s="7">
        <v>0</v>
      </c>
      <c r="F51" s="17">
        <f t="shared" si="1"/>
        <v>611542.59385780618</v>
      </c>
      <c r="K51" s="10">
        <v>275261</v>
      </c>
      <c r="L51" s="7">
        <v>0</v>
      </c>
      <c r="M51" s="7"/>
      <c r="N51" s="7">
        <v>1349739</v>
      </c>
      <c r="O51" s="7">
        <v>0</v>
      </c>
      <c r="P51" s="7"/>
      <c r="Q51" s="7">
        <v>0</v>
      </c>
      <c r="R51" s="7">
        <v>0</v>
      </c>
      <c r="S51" s="7"/>
      <c r="T51" s="7">
        <v>0</v>
      </c>
      <c r="U51" s="17">
        <v>0</v>
      </c>
    </row>
    <row r="52" spans="1:21">
      <c r="A52" t="s">
        <v>46</v>
      </c>
      <c r="B52" s="10">
        <v>2143.0657170229247</v>
      </c>
      <c r="C52" s="7">
        <v>130637.71194644758</v>
      </c>
      <c r="D52" s="7">
        <v>0</v>
      </c>
      <c r="E52" s="7">
        <v>0</v>
      </c>
      <c r="F52" s="17">
        <f t="shared" si="1"/>
        <v>132780.77766347051</v>
      </c>
      <c r="K52" s="10">
        <v>4000</v>
      </c>
      <c r="L52" s="7">
        <v>0</v>
      </c>
      <c r="M52" s="7"/>
      <c r="N52" s="7">
        <v>265000</v>
      </c>
      <c r="O52" s="7">
        <v>0</v>
      </c>
      <c r="P52" s="7"/>
      <c r="Q52" s="7">
        <v>0</v>
      </c>
      <c r="R52" s="7">
        <v>0</v>
      </c>
      <c r="S52" s="7"/>
      <c r="T52" s="7">
        <v>0</v>
      </c>
      <c r="U52" s="17">
        <v>0</v>
      </c>
    </row>
    <row r="53" spans="1:21">
      <c r="A53" t="s">
        <v>47</v>
      </c>
      <c r="B53" s="10">
        <v>133198.69401287602</v>
      </c>
      <c r="C53" s="7">
        <v>2821752.3564886483</v>
      </c>
      <c r="D53" s="7">
        <v>0</v>
      </c>
      <c r="E53" s="7">
        <v>0</v>
      </c>
      <c r="F53" s="17">
        <f t="shared" si="1"/>
        <v>2954951.0505015245</v>
      </c>
      <c r="K53" s="10">
        <v>333529</v>
      </c>
      <c r="L53" s="7">
        <v>0</v>
      </c>
      <c r="M53" s="7"/>
      <c r="N53" s="7">
        <v>7336036</v>
      </c>
      <c r="O53" s="7">
        <v>0</v>
      </c>
      <c r="P53" s="7"/>
      <c r="Q53" s="7">
        <v>0</v>
      </c>
      <c r="R53" s="7">
        <v>0</v>
      </c>
      <c r="S53" s="7"/>
      <c r="T53" s="7">
        <v>0</v>
      </c>
      <c r="U53" s="17">
        <v>0</v>
      </c>
    </row>
    <row r="54" spans="1:21">
      <c r="A54" t="s">
        <v>48</v>
      </c>
      <c r="B54" s="10">
        <v>503728.3976035997</v>
      </c>
      <c r="C54" s="7">
        <v>1077374.2370262942</v>
      </c>
      <c r="D54" s="7">
        <v>0</v>
      </c>
      <c r="E54" s="7">
        <v>0</v>
      </c>
      <c r="F54" s="17">
        <f t="shared" si="1"/>
        <v>1581102.634629894</v>
      </c>
      <c r="K54" s="10">
        <v>688258</v>
      </c>
      <c r="L54" s="7">
        <v>0</v>
      </c>
      <c r="M54" s="7"/>
      <c r="N54" s="7">
        <v>2020070</v>
      </c>
      <c r="O54" s="7">
        <v>0</v>
      </c>
      <c r="P54" s="7"/>
      <c r="Q54" s="7">
        <v>0</v>
      </c>
      <c r="R54" s="7">
        <v>0</v>
      </c>
      <c r="S54" s="7"/>
      <c r="T54" s="7">
        <v>0</v>
      </c>
      <c r="U54" s="17">
        <v>0</v>
      </c>
    </row>
    <row r="55" spans="1:21">
      <c r="A55" t="s">
        <v>49</v>
      </c>
      <c r="B55" s="10">
        <v>27327.832036510259</v>
      </c>
      <c r="C55" s="7">
        <v>191245.29384835841</v>
      </c>
      <c r="D55" s="7">
        <v>0</v>
      </c>
      <c r="E55" s="7">
        <v>0</v>
      </c>
      <c r="F55" s="17">
        <f t="shared" si="1"/>
        <v>218573.12588486867</v>
      </c>
      <c r="K55" s="10">
        <v>109516</v>
      </c>
      <c r="L55" s="7">
        <v>2286</v>
      </c>
      <c r="M55" s="7"/>
      <c r="N55" s="7">
        <v>575004</v>
      </c>
      <c r="O55" s="7">
        <v>342380</v>
      </c>
      <c r="P55" s="7"/>
      <c r="Q55" s="7">
        <v>0</v>
      </c>
      <c r="R55" s="7">
        <v>0</v>
      </c>
      <c r="S55" s="7"/>
      <c r="T55" s="7">
        <v>0</v>
      </c>
      <c r="U55" s="17">
        <v>0</v>
      </c>
    </row>
    <row r="56" spans="1:21">
      <c r="A56" t="s">
        <v>50</v>
      </c>
      <c r="B56" s="10">
        <v>111978.06292363213</v>
      </c>
      <c r="C56" s="7">
        <v>519660.98375259654</v>
      </c>
      <c r="D56" s="7">
        <v>0</v>
      </c>
      <c r="E56" s="7">
        <v>0</v>
      </c>
      <c r="F56" s="17">
        <f t="shared" si="1"/>
        <v>631639.04667622864</v>
      </c>
      <c r="K56" s="10">
        <v>300000</v>
      </c>
      <c r="L56" s="7">
        <v>0</v>
      </c>
      <c r="M56" s="7"/>
      <c r="N56" s="7">
        <v>1500000</v>
      </c>
      <c r="O56" s="7">
        <v>0</v>
      </c>
      <c r="P56" s="7"/>
      <c r="Q56" s="7">
        <v>0</v>
      </c>
      <c r="R56" s="7">
        <v>0</v>
      </c>
      <c r="S56" s="7"/>
      <c r="T56" s="7">
        <v>0</v>
      </c>
      <c r="U56" s="17">
        <v>0</v>
      </c>
    </row>
    <row r="57" spans="1:21">
      <c r="A57" t="s">
        <v>51</v>
      </c>
      <c r="B57" s="10">
        <v>74768.519900479194</v>
      </c>
      <c r="C57" s="7">
        <v>103991.11929556134</v>
      </c>
      <c r="D57" s="7">
        <v>0</v>
      </c>
      <c r="E57" s="7">
        <v>0</v>
      </c>
      <c r="F57" s="17">
        <f t="shared" si="1"/>
        <v>178759.63919604052</v>
      </c>
      <c r="K57" s="10">
        <v>132853</v>
      </c>
      <c r="L57" s="7">
        <v>61385</v>
      </c>
      <c r="M57" s="7"/>
      <c r="N57" s="7">
        <v>189719</v>
      </c>
      <c r="O57" s="7">
        <v>88336</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22777529.469151247</v>
      </c>
      <c r="C60" s="7">
        <f>SUM(C6:C58)</f>
        <v>84099479.560848773</v>
      </c>
      <c r="D60" s="7">
        <f>SUM(D6:D58)</f>
        <v>0</v>
      </c>
      <c r="E60" s="7">
        <f>SUM(E6:E58)</f>
        <v>0</v>
      </c>
      <c r="F60" s="17">
        <f>SUM(F6:F58)</f>
        <v>106877009.03000003</v>
      </c>
      <c r="K60" s="10">
        <f>SUM(K6:K58)</f>
        <v>60125731</v>
      </c>
      <c r="L60" s="7">
        <f>SUM(L6:L58)</f>
        <v>10014471.07</v>
      </c>
      <c r="M60" s="7"/>
      <c r="N60" s="7">
        <f>SUM(N6:N58)</f>
        <v>175491859</v>
      </c>
      <c r="O60" s="7">
        <f>SUM(O6:O58)</f>
        <v>19412205.129999999</v>
      </c>
      <c r="P60" s="7"/>
      <c r="Q60" s="7">
        <f>SUM(Q6:Q58)</f>
        <v>0</v>
      </c>
      <c r="R60" s="7">
        <f>SUM(R6:R58)</f>
        <v>0</v>
      </c>
      <c r="S60" s="7"/>
      <c r="T60" s="7">
        <f>SUM(T6:T58)</f>
        <v>2000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Italic"Guarantee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92524.474617419764</v>
      </c>
      <c r="E6" s="7">
        <v>0</v>
      </c>
      <c r="F6" s="17">
        <f t="shared" ref="F6:F37" si="0">SUM(B6:E6)</f>
        <v>92524.474617419764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796732.30594917294</v>
      </c>
      <c r="E8" s="7">
        <v>0</v>
      </c>
      <c r="F8" s="17">
        <f t="shared" si="0"/>
        <v>796732.30594917294</v>
      </c>
      <c r="H8" s="4" t="s">
        <v>64</v>
      </c>
      <c r="I8" s="13"/>
      <c r="K8" s="10"/>
      <c r="L8" s="7"/>
      <c r="M8" s="7"/>
      <c r="N8" s="7"/>
      <c r="O8" s="7"/>
      <c r="P8" s="7"/>
      <c r="Q8" s="7"/>
      <c r="R8" s="7"/>
      <c r="S8" s="7"/>
      <c r="T8" s="7"/>
      <c r="U8" s="17"/>
    </row>
    <row r="9" spans="1:21">
      <c r="A9" t="s">
        <v>3</v>
      </c>
      <c r="B9" s="10">
        <v>0</v>
      </c>
      <c r="C9" s="7">
        <v>0</v>
      </c>
      <c r="D9" s="7">
        <v>55042.727617857468</v>
      </c>
      <c r="E9" s="7">
        <v>0</v>
      </c>
      <c r="F9" s="17">
        <f t="shared" si="0"/>
        <v>55042.727617857468</v>
      </c>
      <c r="H9" s="4"/>
      <c r="I9" s="13"/>
      <c r="K9" s="10">
        <v>0</v>
      </c>
      <c r="L9" s="7">
        <v>0</v>
      </c>
      <c r="M9" s="7"/>
      <c r="N9" s="7">
        <v>0</v>
      </c>
      <c r="O9" s="7">
        <v>0</v>
      </c>
      <c r="P9" s="7"/>
      <c r="Q9" s="7">
        <v>0</v>
      </c>
      <c r="R9" s="7">
        <v>0</v>
      </c>
      <c r="S9" s="7"/>
      <c r="T9" s="7">
        <v>0</v>
      </c>
      <c r="U9" s="17">
        <v>0</v>
      </c>
    </row>
    <row r="10" spans="1:21">
      <c r="A10" t="s">
        <v>4</v>
      </c>
      <c r="B10" s="10">
        <v>0</v>
      </c>
      <c r="C10" s="7">
        <v>0</v>
      </c>
      <c r="D10" s="7">
        <v>11082.51228343913</v>
      </c>
      <c r="E10" s="7">
        <v>0</v>
      </c>
      <c r="F10" s="17">
        <f t="shared" si="0"/>
        <v>11082.51228343913</v>
      </c>
      <c r="H10" s="4" t="s">
        <v>65</v>
      </c>
      <c r="I10" s="14">
        <v>9679935</v>
      </c>
      <c r="K10" s="10"/>
      <c r="L10" s="7"/>
      <c r="M10" s="7"/>
      <c r="N10" s="7"/>
      <c r="O10" s="7"/>
      <c r="P10" s="7"/>
      <c r="Q10" s="7"/>
      <c r="R10" s="7"/>
      <c r="S10" s="7"/>
      <c r="T10" s="7"/>
      <c r="U10" s="17"/>
    </row>
    <row r="11" spans="1:21">
      <c r="A11" t="s">
        <v>5</v>
      </c>
      <c r="B11" s="10">
        <v>0</v>
      </c>
      <c r="C11" s="7">
        <v>0</v>
      </c>
      <c r="D11" s="7">
        <v>3538312.272564522</v>
      </c>
      <c r="E11" s="7">
        <v>0</v>
      </c>
      <c r="F11" s="17">
        <f t="shared" si="0"/>
        <v>3538312.272564522</v>
      </c>
      <c r="H11" s="4"/>
      <c r="I11" s="14"/>
      <c r="K11" s="10">
        <v>0</v>
      </c>
      <c r="L11" s="7">
        <v>0</v>
      </c>
      <c r="M11" s="7"/>
      <c r="N11" s="7">
        <v>0</v>
      </c>
      <c r="O11" s="7">
        <v>0</v>
      </c>
      <c r="P11" s="7"/>
      <c r="Q11" s="7">
        <v>3558082</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11416</v>
      </c>
      <c r="E13" s="7">
        <v>0</v>
      </c>
      <c r="F13" s="17">
        <f t="shared" si="0"/>
        <v>11416</v>
      </c>
      <c r="H13" s="4" t="s">
        <v>67</v>
      </c>
      <c r="I13" s="14">
        <v>9679935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2480309</v>
      </c>
      <c r="K14" s="10"/>
      <c r="L14" s="7"/>
      <c r="M14" s="7"/>
      <c r="N14" s="7"/>
      <c r="O14" s="7"/>
      <c r="P14" s="7"/>
      <c r="Q14" s="7"/>
      <c r="R14" s="7"/>
      <c r="S14" s="7"/>
      <c r="T14" s="7"/>
      <c r="U14" s="17"/>
    </row>
    <row r="15" spans="1:21">
      <c r="A15" t="s">
        <v>9</v>
      </c>
      <c r="B15" s="10">
        <v>0</v>
      </c>
      <c r="C15" s="7">
        <v>0</v>
      </c>
      <c r="D15" s="7">
        <v>25544.541550165453</v>
      </c>
      <c r="E15" s="7">
        <v>0</v>
      </c>
      <c r="F15" s="17">
        <f t="shared" si="0"/>
        <v>25544.541550165453</v>
      </c>
      <c r="H15" s="4" t="s">
        <v>69</v>
      </c>
      <c r="I15" s="14">
        <v>1393298.6600000001</v>
      </c>
      <c r="K15" s="10"/>
      <c r="L15" s="7"/>
      <c r="M15" s="7"/>
      <c r="N15" s="7"/>
      <c r="O15" s="7"/>
      <c r="P15" s="7"/>
      <c r="Q15" s="7"/>
      <c r="R15" s="7"/>
      <c r="S15" s="7"/>
      <c r="T15" s="7"/>
      <c r="U15" s="17"/>
    </row>
    <row r="16" spans="1:21">
      <c r="A16" t="s">
        <v>10</v>
      </c>
      <c r="B16" s="10">
        <v>0</v>
      </c>
      <c r="C16" s="7">
        <v>0</v>
      </c>
      <c r="D16" s="7">
        <v>2512338.9686760493</v>
      </c>
      <c r="E16" s="7">
        <v>0</v>
      </c>
      <c r="F16" s="17">
        <f t="shared" si="0"/>
        <v>2512338.9686760493</v>
      </c>
      <c r="H16" s="4" t="s">
        <v>70</v>
      </c>
      <c r="I16" s="14">
        <v>0</v>
      </c>
      <c r="K16" s="10"/>
      <c r="L16" s="7"/>
      <c r="M16" s="7"/>
      <c r="N16" s="7"/>
      <c r="O16" s="7"/>
      <c r="P16" s="7"/>
      <c r="Q16" s="7"/>
      <c r="R16" s="7"/>
      <c r="S16" s="7"/>
      <c r="T16" s="7"/>
      <c r="U16" s="17"/>
    </row>
    <row r="17" spans="1:21">
      <c r="A17" t="s">
        <v>11</v>
      </c>
      <c r="B17" s="10">
        <v>0</v>
      </c>
      <c r="C17" s="7">
        <v>0</v>
      </c>
      <c r="D17" s="7">
        <v>17560</v>
      </c>
      <c r="E17" s="7">
        <v>0</v>
      </c>
      <c r="F17" s="17">
        <f t="shared" si="0"/>
        <v>17560</v>
      </c>
      <c r="H17" s="4"/>
      <c r="I17" s="14"/>
      <c r="K17" s="10"/>
      <c r="L17" s="7"/>
      <c r="M17" s="7"/>
      <c r="N17" s="7"/>
      <c r="O17" s="7"/>
      <c r="P17" s="7"/>
      <c r="Q17" s="7"/>
      <c r="R17" s="7"/>
      <c r="S17" s="7"/>
      <c r="T17" s="7"/>
      <c r="U17" s="17"/>
    </row>
    <row r="18" spans="1:21">
      <c r="A18" t="s">
        <v>12</v>
      </c>
      <c r="B18" s="10">
        <v>0</v>
      </c>
      <c r="C18" s="7">
        <v>0</v>
      </c>
      <c r="D18" s="7">
        <v>4640.5415501654552</v>
      </c>
      <c r="E18" s="7">
        <v>0</v>
      </c>
      <c r="F18" s="17">
        <f t="shared" si="0"/>
        <v>4640.5415501654552</v>
      </c>
      <c r="H18" s="4" t="s">
        <v>71</v>
      </c>
      <c r="I18" s="14"/>
      <c r="K18" s="10">
        <v>0</v>
      </c>
      <c r="L18" s="7">
        <v>0</v>
      </c>
      <c r="M18" s="7"/>
      <c r="N18" s="7">
        <v>0</v>
      </c>
      <c r="O18" s="7">
        <v>0</v>
      </c>
      <c r="P18" s="7"/>
      <c r="Q18" s="7">
        <v>14100</v>
      </c>
      <c r="R18" s="7">
        <v>0</v>
      </c>
      <c r="S18" s="7"/>
      <c r="T18" s="7">
        <v>0</v>
      </c>
      <c r="U18" s="17">
        <v>0</v>
      </c>
    </row>
    <row r="19" spans="1:21">
      <c r="A19" t="s">
        <v>13</v>
      </c>
      <c r="B19" s="10">
        <v>0</v>
      </c>
      <c r="C19" s="7">
        <v>0</v>
      </c>
      <c r="D19" s="7">
        <v>142732.26422551216</v>
      </c>
      <c r="E19" s="7">
        <v>0</v>
      </c>
      <c r="F19" s="17">
        <f t="shared" si="0"/>
        <v>142732.26422551216</v>
      </c>
      <c r="H19" s="4" t="s">
        <v>72</v>
      </c>
      <c r="I19" s="14">
        <v>0</v>
      </c>
      <c r="K19" s="10">
        <v>0</v>
      </c>
      <c r="L19" s="7">
        <v>0</v>
      </c>
      <c r="M19" s="7"/>
      <c r="N19" s="7">
        <v>0</v>
      </c>
      <c r="O19" s="7">
        <v>0</v>
      </c>
      <c r="P19" s="7"/>
      <c r="Q19" s="7">
        <v>130000</v>
      </c>
      <c r="R19" s="7">
        <v>0</v>
      </c>
      <c r="S19" s="7"/>
      <c r="T19" s="7">
        <v>0</v>
      </c>
      <c r="U19" s="17">
        <v>0</v>
      </c>
    </row>
    <row r="20" spans="1:21">
      <c r="A20" t="s">
        <v>14</v>
      </c>
      <c r="B20" s="10">
        <v>0</v>
      </c>
      <c r="C20" s="7">
        <v>0</v>
      </c>
      <c r="D20" s="7">
        <v>15795.51228343913</v>
      </c>
      <c r="E20" s="7">
        <v>0</v>
      </c>
      <c r="F20" s="17">
        <f t="shared" si="0"/>
        <v>15795.51228343913</v>
      </c>
      <c r="H20" s="4" t="s">
        <v>73</v>
      </c>
      <c r="I20" s="14">
        <v>9679935</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11023</v>
      </c>
      <c r="E22" s="7">
        <v>0</v>
      </c>
      <c r="F22" s="17">
        <f t="shared" si="0"/>
        <v>11023</v>
      </c>
      <c r="H22" s="4" t="s">
        <v>75</v>
      </c>
      <c r="I22" s="14">
        <v>0</v>
      </c>
      <c r="K22" s="10"/>
      <c r="L22" s="7"/>
      <c r="M22" s="7"/>
      <c r="N22" s="7"/>
      <c r="O22" s="7"/>
      <c r="P22" s="7"/>
      <c r="Q22" s="7"/>
      <c r="R22" s="7"/>
      <c r="S22" s="7"/>
      <c r="T22" s="7"/>
      <c r="U22" s="17"/>
    </row>
    <row r="23" spans="1:21">
      <c r="A23" t="s">
        <v>17</v>
      </c>
      <c r="B23" s="10">
        <v>0</v>
      </c>
      <c r="C23" s="7">
        <v>0</v>
      </c>
      <c r="D23" s="7">
        <v>19.029266726325233</v>
      </c>
      <c r="E23" s="7">
        <v>0</v>
      </c>
      <c r="F23" s="17">
        <f t="shared" si="0"/>
        <v>19.029266726325233</v>
      </c>
      <c r="H23" s="4" t="s">
        <v>76</v>
      </c>
      <c r="I23" s="14"/>
      <c r="K23" s="10"/>
      <c r="L23" s="7"/>
      <c r="M23" s="7"/>
      <c r="N23" s="7"/>
      <c r="O23" s="7"/>
      <c r="P23" s="7"/>
      <c r="Q23" s="7"/>
      <c r="R23" s="7"/>
      <c r="S23" s="7"/>
      <c r="T23" s="7"/>
      <c r="U23" s="17"/>
    </row>
    <row r="24" spans="1:21">
      <c r="A24" t="s">
        <v>18</v>
      </c>
      <c r="B24" s="10">
        <v>0</v>
      </c>
      <c r="C24" s="7">
        <v>0</v>
      </c>
      <c r="D24" s="7">
        <v>83227.269168022933</v>
      </c>
      <c r="E24" s="7">
        <v>0</v>
      </c>
      <c r="F24" s="17">
        <f t="shared" si="0"/>
        <v>83227.269168022933</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13553542.66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13553542.659999998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538518.53313966654</v>
      </c>
      <c r="E30" s="7">
        <v>0</v>
      </c>
      <c r="F30" s="17">
        <f t="shared" si="0"/>
        <v>538518.53313966654</v>
      </c>
      <c r="K30" s="10"/>
      <c r="L30" s="7"/>
      <c r="M30" s="7"/>
      <c r="N30" s="7"/>
      <c r="O30" s="7"/>
      <c r="P30" s="7"/>
      <c r="Q30" s="7"/>
      <c r="R30" s="7"/>
      <c r="S30" s="7"/>
      <c r="T30" s="7"/>
      <c r="U30" s="17"/>
    </row>
    <row r="31" spans="1:21">
      <c r="A31" t="s">
        <v>25</v>
      </c>
      <c r="B31" s="10">
        <v>0</v>
      </c>
      <c r="C31" s="7">
        <v>0</v>
      </c>
      <c r="D31" s="7">
        <v>2438.7030509792103</v>
      </c>
      <c r="E31" s="7">
        <v>0</v>
      </c>
      <c r="F31" s="17">
        <f t="shared" si="0"/>
        <v>2438.7030509792103</v>
      </c>
      <c r="K31" s="10"/>
      <c r="L31" s="7"/>
      <c r="M31" s="7"/>
      <c r="N31" s="7"/>
      <c r="O31" s="7"/>
      <c r="P31" s="7"/>
      <c r="Q31" s="7"/>
      <c r="R31" s="7"/>
      <c r="S31" s="7"/>
      <c r="T31" s="7"/>
      <c r="U31" s="17"/>
    </row>
    <row r="32" spans="1:21">
      <c r="A32" t="s">
        <v>26</v>
      </c>
      <c r="B32" s="10">
        <v>0</v>
      </c>
      <c r="C32" s="7">
        <v>0</v>
      </c>
      <c r="D32" s="7">
        <v>6787</v>
      </c>
      <c r="E32" s="7">
        <v>0</v>
      </c>
      <c r="F32" s="17">
        <f t="shared" si="0"/>
        <v>6787</v>
      </c>
      <c r="K32" s="10"/>
      <c r="L32" s="7"/>
      <c r="M32" s="7"/>
      <c r="N32" s="7"/>
      <c r="O32" s="7"/>
      <c r="P32" s="7"/>
      <c r="Q32" s="7"/>
      <c r="R32" s="7"/>
      <c r="S32" s="7"/>
      <c r="T32" s="7"/>
      <c r="U32" s="17"/>
    </row>
    <row r="33" spans="1:21">
      <c r="A33" t="s">
        <v>27</v>
      </c>
      <c r="B33" s="10">
        <v>0</v>
      </c>
      <c r="C33" s="7">
        <v>0</v>
      </c>
      <c r="D33" s="7">
        <v>1036</v>
      </c>
      <c r="E33" s="7">
        <v>0</v>
      </c>
      <c r="F33" s="17">
        <f t="shared" si="0"/>
        <v>1036</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12246.029266726326</v>
      </c>
      <c r="E37" s="7">
        <v>0</v>
      </c>
      <c r="F37" s="17">
        <f t="shared" si="0"/>
        <v>12246.029266726326</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11835.51228343913</v>
      </c>
      <c r="E39" s="7">
        <v>0</v>
      </c>
      <c r="F39" s="17">
        <f t="shared" si="1"/>
        <v>11835.51228343913</v>
      </c>
      <c r="K39" s="10"/>
      <c r="L39" s="7"/>
      <c r="M39" s="7"/>
      <c r="N39" s="7"/>
      <c r="O39" s="7"/>
      <c r="P39" s="7"/>
      <c r="Q39" s="7"/>
      <c r="R39" s="7"/>
      <c r="S39" s="7"/>
      <c r="T39" s="7"/>
      <c r="U39" s="17"/>
    </row>
    <row r="40" spans="1:21">
      <c r="A40" t="s">
        <v>34</v>
      </c>
      <c r="B40" s="10">
        <v>0</v>
      </c>
      <c r="C40" s="7">
        <v>0</v>
      </c>
      <c r="D40" s="7">
        <v>615</v>
      </c>
      <c r="E40" s="7">
        <v>0</v>
      </c>
      <c r="F40" s="17">
        <f t="shared" si="1"/>
        <v>615</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277208.53512192622</v>
      </c>
      <c r="E42" s="7">
        <v>0</v>
      </c>
      <c r="F42" s="17">
        <f t="shared" si="1"/>
        <v>277208.53512192622</v>
      </c>
      <c r="K42" s="10">
        <v>0</v>
      </c>
      <c r="L42" s="7">
        <v>0</v>
      </c>
      <c r="M42" s="7"/>
      <c r="N42" s="7">
        <v>0</v>
      </c>
      <c r="O42" s="7">
        <v>0</v>
      </c>
      <c r="P42" s="7"/>
      <c r="Q42" s="7">
        <v>400000</v>
      </c>
      <c r="R42" s="7">
        <v>0</v>
      </c>
      <c r="S42" s="7"/>
      <c r="T42" s="7">
        <v>0</v>
      </c>
      <c r="U42" s="17">
        <v>0</v>
      </c>
    </row>
    <row r="43" spans="1:21">
      <c r="A43" t="s">
        <v>37</v>
      </c>
      <c r="B43" s="10">
        <v>0</v>
      </c>
      <c r="C43" s="7">
        <v>0</v>
      </c>
      <c r="D43" s="7">
        <v>-324.48771656087013</v>
      </c>
      <c r="E43" s="7">
        <v>0</v>
      </c>
      <c r="F43" s="17">
        <f t="shared" si="1"/>
        <v>-324.48771656087013</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1639505.5953686992</v>
      </c>
      <c r="E47" s="7">
        <v>0</v>
      </c>
      <c r="F47" s="17">
        <f t="shared" si="1"/>
        <v>1639505.5953686992</v>
      </c>
      <c r="K47" s="10">
        <v>0</v>
      </c>
      <c r="L47" s="7">
        <v>0</v>
      </c>
      <c r="M47" s="7"/>
      <c r="N47" s="7">
        <v>0</v>
      </c>
      <c r="O47" s="7">
        <v>0</v>
      </c>
      <c r="P47" s="7"/>
      <c r="Q47" s="7">
        <v>1500000</v>
      </c>
      <c r="R47" s="7">
        <v>0</v>
      </c>
      <c r="S47" s="7"/>
      <c r="T47" s="7">
        <v>0</v>
      </c>
      <c r="U47" s="17">
        <v>0</v>
      </c>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3745628.8197326325</v>
      </c>
      <c r="E50" s="7">
        <v>0</v>
      </c>
      <c r="F50" s="17">
        <f t="shared" si="1"/>
        <v>3745628.8197326325</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56</v>
      </c>
      <c r="E57" s="7">
        <v>0</v>
      </c>
      <c r="F57" s="17">
        <f t="shared" si="1"/>
        <v>56</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13553542.659999998</v>
      </c>
      <c r="E60" s="7">
        <f>SUM(E6:E58)</f>
        <v>0</v>
      </c>
      <c r="F60" s="17">
        <f>SUM(F6:F58)</f>
        <v>13553542.659999998</v>
      </c>
      <c r="K60" s="10">
        <f>SUM(K6:K58)</f>
        <v>0</v>
      </c>
      <c r="L60" s="7">
        <f>SUM(L6:L58)</f>
        <v>0</v>
      </c>
      <c r="M60" s="7"/>
      <c r="N60" s="7">
        <f>SUM(N6:N58)</f>
        <v>0</v>
      </c>
      <c r="O60" s="7">
        <f>SUM(O6:O58)</f>
        <v>0</v>
      </c>
      <c r="P60" s="7"/>
      <c r="Q60" s="7">
        <f>SUM(Q6:Q58)</f>
        <v>5602182</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Italic"Imerica Life and Health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575029.65842523589</v>
      </c>
      <c r="C6" s="7">
        <v>244941.0521222555</v>
      </c>
      <c r="D6" s="7">
        <v>0</v>
      </c>
      <c r="E6" s="7">
        <v>0</v>
      </c>
      <c r="F6" s="17">
        <f t="shared" ref="F6:F37" si="0">SUM(B6:E6)</f>
        <v>819970.71054749144</v>
      </c>
      <c r="K6" s="10">
        <v>1419000</v>
      </c>
      <c r="L6" s="7">
        <v>0</v>
      </c>
      <c r="M6" s="7"/>
      <c r="N6" s="7">
        <v>15909</v>
      </c>
      <c r="O6" s="7">
        <v>0</v>
      </c>
      <c r="P6" s="7"/>
      <c r="Q6" s="7">
        <v>0</v>
      </c>
      <c r="R6" s="7">
        <v>0</v>
      </c>
      <c r="S6" s="7"/>
      <c r="T6" s="7">
        <v>0</v>
      </c>
      <c r="U6" s="17">
        <v>0</v>
      </c>
    </row>
    <row r="7" spans="1:21">
      <c r="A7" t="s">
        <v>1</v>
      </c>
      <c r="B7" s="10">
        <v>-4588.9927030194594</v>
      </c>
      <c r="C7" s="7">
        <v>0</v>
      </c>
      <c r="D7" s="7">
        <v>0</v>
      </c>
      <c r="E7" s="7">
        <v>0</v>
      </c>
      <c r="F7" s="17">
        <f t="shared" si="0"/>
        <v>-4588.9927030194594</v>
      </c>
      <c r="H7" s="22"/>
      <c r="I7" s="24"/>
      <c r="K7" s="10">
        <v>68158</v>
      </c>
      <c r="L7" s="7">
        <v>41500</v>
      </c>
      <c r="M7" s="7"/>
      <c r="N7" s="7">
        <v>0</v>
      </c>
      <c r="O7" s="7">
        <v>0</v>
      </c>
      <c r="P7" s="7"/>
      <c r="Q7" s="7">
        <v>1000</v>
      </c>
      <c r="R7" s="7">
        <v>0</v>
      </c>
      <c r="S7" s="7"/>
      <c r="T7" s="7">
        <v>0</v>
      </c>
      <c r="U7" s="17">
        <v>0</v>
      </c>
    </row>
    <row r="8" spans="1:21">
      <c r="A8" t="s">
        <v>2</v>
      </c>
      <c r="B8" s="10">
        <v>1384999.2530077491</v>
      </c>
      <c r="C8" s="7">
        <v>77792.416988967161</v>
      </c>
      <c r="D8" s="7">
        <v>0</v>
      </c>
      <c r="E8" s="7">
        <v>0</v>
      </c>
      <c r="F8" s="17">
        <f t="shared" si="0"/>
        <v>1462791.6699967163</v>
      </c>
      <c r="H8" s="4" t="s">
        <v>64</v>
      </c>
      <c r="I8" s="13"/>
      <c r="K8" s="10">
        <v>1251703</v>
      </c>
      <c r="L8" s="7">
        <v>0</v>
      </c>
      <c r="M8" s="7"/>
      <c r="N8" s="7">
        <v>44673</v>
      </c>
      <c r="O8" s="7">
        <v>0</v>
      </c>
      <c r="P8" s="7"/>
      <c r="Q8" s="7">
        <v>0</v>
      </c>
      <c r="R8" s="7">
        <v>0</v>
      </c>
      <c r="S8" s="7"/>
      <c r="T8" s="7">
        <v>0</v>
      </c>
      <c r="U8" s="17">
        <v>0</v>
      </c>
    </row>
    <row r="9" spans="1:21">
      <c r="A9" t="s">
        <v>3</v>
      </c>
      <c r="B9" s="10">
        <v>518915.54556453275</v>
      </c>
      <c r="C9" s="7">
        <v>0</v>
      </c>
      <c r="D9" s="7">
        <v>0</v>
      </c>
      <c r="E9" s="7">
        <v>0</v>
      </c>
      <c r="F9" s="17">
        <f t="shared" si="0"/>
        <v>518915.54556453275</v>
      </c>
      <c r="H9" s="4"/>
      <c r="I9" s="13"/>
      <c r="K9" s="10">
        <v>669513</v>
      </c>
      <c r="L9" s="7">
        <v>0</v>
      </c>
      <c r="M9" s="7"/>
      <c r="N9" s="7">
        <v>0</v>
      </c>
      <c r="O9" s="7">
        <v>0</v>
      </c>
      <c r="P9" s="7"/>
      <c r="Q9" s="7">
        <v>0</v>
      </c>
      <c r="R9" s="7">
        <v>0</v>
      </c>
      <c r="S9" s="7"/>
      <c r="T9" s="7">
        <v>0</v>
      </c>
      <c r="U9" s="17">
        <v>0</v>
      </c>
    </row>
    <row r="10" spans="1:21">
      <c r="A10" t="s">
        <v>4</v>
      </c>
      <c r="B10" s="10">
        <v>9803914.3287285306</v>
      </c>
      <c r="C10" s="7">
        <v>4610292.6981632644</v>
      </c>
      <c r="D10" s="7">
        <v>0</v>
      </c>
      <c r="E10" s="7">
        <v>0</v>
      </c>
      <c r="F10" s="17">
        <f t="shared" si="0"/>
        <v>14414207.026891794</v>
      </c>
      <c r="H10" s="4" t="s">
        <v>65</v>
      </c>
      <c r="I10" s="14">
        <v>72462458.310873419</v>
      </c>
      <c r="K10" s="10">
        <v>17000000</v>
      </c>
      <c r="L10" s="7">
        <v>5715000</v>
      </c>
      <c r="M10" s="7"/>
      <c r="N10" s="7">
        <v>7800000</v>
      </c>
      <c r="O10" s="7">
        <v>8563000</v>
      </c>
      <c r="P10" s="7"/>
      <c r="Q10" s="7">
        <v>270000</v>
      </c>
      <c r="R10" s="7">
        <v>0</v>
      </c>
      <c r="S10" s="7"/>
      <c r="T10" s="7">
        <v>0</v>
      </c>
      <c r="U10" s="17">
        <v>0</v>
      </c>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45321.537402632428</v>
      </c>
      <c r="C13" s="7">
        <v>59911.691741190632</v>
      </c>
      <c r="D13" s="7">
        <v>0</v>
      </c>
      <c r="E13" s="7">
        <v>231790.83682421775</v>
      </c>
      <c r="F13" s="17">
        <f t="shared" si="0"/>
        <v>337024.06596804084</v>
      </c>
      <c r="H13" s="4" t="s">
        <v>67</v>
      </c>
      <c r="I13" s="14">
        <v>79125416</v>
      </c>
      <c r="K13" s="10">
        <v>82000</v>
      </c>
      <c r="L13" s="7">
        <v>0</v>
      </c>
      <c r="M13" s="7"/>
      <c r="N13" s="7">
        <v>418000</v>
      </c>
      <c r="O13" s="7">
        <v>0</v>
      </c>
      <c r="P13" s="7"/>
      <c r="Q13" s="7">
        <v>0</v>
      </c>
      <c r="R13" s="7">
        <v>0</v>
      </c>
      <c r="S13" s="7"/>
      <c r="T13" s="7">
        <v>0</v>
      </c>
      <c r="U13" s="17">
        <v>0</v>
      </c>
    </row>
    <row r="14" spans="1:21">
      <c r="A14" t="s">
        <v>8</v>
      </c>
      <c r="B14" s="10">
        <v>0</v>
      </c>
      <c r="C14" s="7">
        <v>0</v>
      </c>
      <c r="D14" s="7">
        <v>0</v>
      </c>
      <c r="E14" s="7">
        <v>0</v>
      </c>
      <c r="F14" s="17">
        <f t="shared" si="0"/>
        <v>0</v>
      </c>
      <c r="H14" s="4" t="s">
        <v>68</v>
      </c>
      <c r="I14" s="14">
        <v>4933932.9999999972</v>
      </c>
      <c r="K14" s="10"/>
      <c r="L14" s="7"/>
      <c r="M14" s="7"/>
      <c r="N14" s="7"/>
      <c r="O14" s="7"/>
      <c r="P14" s="7"/>
      <c r="Q14" s="7"/>
      <c r="R14" s="7"/>
      <c r="S14" s="7"/>
      <c r="T14" s="7"/>
      <c r="U14" s="17"/>
    </row>
    <row r="15" spans="1:21">
      <c r="A15" t="s">
        <v>9</v>
      </c>
      <c r="B15" s="10">
        <v>2473622.3919724445</v>
      </c>
      <c r="C15" s="7">
        <v>1753995.7350604865</v>
      </c>
      <c r="D15" s="7">
        <v>0</v>
      </c>
      <c r="E15" s="7">
        <v>0</v>
      </c>
      <c r="F15" s="17">
        <f t="shared" si="0"/>
        <v>4227618.127032931</v>
      </c>
      <c r="H15" s="4" t="s">
        <v>69</v>
      </c>
      <c r="I15" s="14">
        <v>2897529.2299999995</v>
      </c>
      <c r="K15" s="10">
        <v>2300000</v>
      </c>
      <c r="L15" s="7">
        <v>0</v>
      </c>
      <c r="M15" s="7"/>
      <c r="N15" s="7">
        <v>1000000</v>
      </c>
      <c r="O15" s="7">
        <v>0</v>
      </c>
      <c r="P15" s="7"/>
      <c r="Q15" s="7">
        <v>1300000</v>
      </c>
      <c r="R15" s="7">
        <v>0</v>
      </c>
      <c r="S15" s="7"/>
      <c r="T15" s="7">
        <v>0</v>
      </c>
      <c r="U15" s="17">
        <v>0</v>
      </c>
    </row>
    <row r="16" spans="1:21">
      <c r="A16" t="s">
        <v>10</v>
      </c>
      <c r="B16" s="10">
        <v>1193798.2329972098</v>
      </c>
      <c r="C16" s="7">
        <v>0</v>
      </c>
      <c r="D16" s="7">
        <v>0</v>
      </c>
      <c r="E16" s="7">
        <v>110397.41166489509</v>
      </c>
      <c r="F16" s="17">
        <f t="shared" si="0"/>
        <v>1304195.6446621048</v>
      </c>
      <c r="H16" s="4" t="s">
        <v>70</v>
      </c>
      <c r="I16" s="14">
        <v>0</v>
      </c>
      <c r="K16" s="10">
        <v>1630072</v>
      </c>
      <c r="L16" s="7">
        <v>0</v>
      </c>
      <c r="M16" s="7"/>
      <c r="N16" s="7">
        <v>0</v>
      </c>
      <c r="O16" s="7">
        <v>0</v>
      </c>
      <c r="P16" s="7"/>
      <c r="Q16" s="7">
        <v>0</v>
      </c>
      <c r="R16" s="7">
        <v>0</v>
      </c>
      <c r="S16" s="7"/>
      <c r="T16" s="7">
        <v>157061</v>
      </c>
      <c r="U16" s="17">
        <v>-1770.53</v>
      </c>
    </row>
    <row r="17" spans="1:21">
      <c r="A17" t="s">
        <v>11</v>
      </c>
      <c r="B17" s="10">
        <v>68233.04279633009</v>
      </c>
      <c r="C17" s="7">
        <v>0</v>
      </c>
      <c r="D17" s="7">
        <v>0</v>
      </c>
      <c r="E17" s="7">
        <v>0</v>
      </c>
      <c r="F17" s="17">
        <f t="shared" si="0"/>
        <v>68233.04279633009</v>
      </c>
      <c r="H17" s="4"/>
      <c r="I17" s="14"/>
      <c r="K17" s="10">
        <v>0</v>
      </c>
      <c r="L17" s="7">
        <v>19697</v>
      </c>
      <c r="M17" s="7"/>
      <c r="N17" s="7">
        <v>0</v>
      </c>
      <c r="O17" s="7">
        <v>0</v>
      </c>
      <c r="P17" s="7"/>
      <c r="Q17" s="7">
        <v>121409</v>
      </c>
      <c r="R17" s="7">
        <v>0</v>
      </c>
      <c r="S17" s="7"/>
      <c r="T17" s="7">
        <v>0</v>
      </c>
      <c r="U17" s="17">
        <v>0</v>
      </c>
    </row>
    <row r="18" spans="1:21">
      <c r="A18" t="s">
        <v>12</v>
      </c>
      <c r="B18" s="10">
        <v>130818.14027535779</v>
      </c>
      <c r="C18" s="7">
        <v>0</v>
      </c>
      <c r="D18" s="7">
        <v>0</v>
      </c>
      <c r="E18" s="7">
        <v>0</v>
      </c>
      <c r="F18" s="17">
        <f t="shared" si="0"/>
        <v>130818.14027535779</v>
      </c>
      <c r="H18" s="4" t="s">
        <v>71</v>
      </c>
      <c r="I18" s="14"/>
      <c r="K18" s="10">
        <v>275000</v>
      </c>
      <c r="L18" s="7">
        <v>0</v>
      </c>
      <c r="M18" s="7"/>
      <c r="N18" s="7">
        <v>0</v>
      </c>
      <c r="O18" s="7">
        <v>0</v>
      </c>
      <c r="P18" s="7"/>
      <c r="Q18" s="7">
        <v>0</v>
      </c>
      <c r="R18" s="7">
        <v>0</v>
      </c>
      <c r="S18" s="7"/>
      <c r="T18" s="7">
        <v>0</v>
      </c>
      <c r="U18" s="17">
        <v>0</v>
      </c>
    </row>
    <row r="19" spans="1:21">
      <c r="A19" t="s">
        <v>13</v>
      </c>
      <c r="B19" s="10">
        <v>13173697.542176435</v>
      </c>
      <c r="C19" s="7">
        <v>3310517.7935526185</v>
      </c>
      <c r="D19" s="7">
        <v>0</v>
      </c>
      <c r="E19" s="7">
        <v>2428796.3859532727</v>
      </c>
      <c r="F19" s="17">
        <f t="shared" si="0"/>
        <v>18913011.721682325</v>
      </c>
      <c r="H19" s="4" t="s">
        <v>72</v>
      </c>
      <c r="I19" s="14">
        <v>0</v>
      </c>
      <c r="K19" s="10">
        <v>15189000</v>
      </c>
      <c r="L19" s="7">
        <v>7787461</v>
      </c>
      <c r="M19" s="7"/>
      <c r="N19" s="7">
        <v>6029000</v>
      </c>
      <c r="O19" s="7">
        <v>2127010</v>
      </c>
      <c r="P19" s="7"/>
      <c r="Q19" s="7">
        <v>200000</v>
      </c>
      <c r="R19" s="7">
        <v>221540</v>
      </c>
      <c r="S19" s="7"/>
      <c r="T19" s="7">
        <v>15925000</v>
      </c>
      <c r="U19" s="17">
        <v>10987367</v>
      </c>
    </row>
    <row r="20" spans="1:21">
      <c r="A20" t="s">
        <v>14</v>
      </c>
      <c r="B20" s="10">
        <v>1232775.1090590023</v>
      </c>
      <c r="C20" s="7">
        <v>80305.291407658078</v>
      </c>
      <c r="D20" s="7">
        <v>0</v>
      </c>
      <c r="E20" s="7">
        <v>0</v>
      </c>
      <c r="F20" s="17">
        <f t="shared" si="0"/>
        <v>1313080.4004666603</v>
      </c>
      <c r="H20" s="4" t="s">
        <v>73</v>
      </c>
      <c r="I20" s="14">
        <v>-1818282.7485531038</v>
      </c>
      <c r="K20" s="10">
        <v>1004167</v>
      </c>
      <c r="L20" s="7">
        <v>0</v>
      </c>
      <c r="M20" s="7"/>
      <c r="N20" s="7">
        <v>0</v>
      </c>
      <c r="O20" s="7">
        <v>0</v>
      </c>
      <c r="P20" s="7"/>
      <c r="Q20" s="7">
        <v>0</v>
      </c>
      <c r="R20" s="7">
        <v>0</v>
      </c>
      <c r="S20" s="7"/>
      <c r="T20" s="7">
        <v>0</v>
      </c>
      <c r="U20" s="17">
        <v>0</v>
      </c>
    </row>
    <row r="21" spans="1:21">
      <c r="A21" t="s">
        <v>15</v>
      </c>
      <c r="B21" s="10">
        <v>1318796.8751615128</v>
      </c>
      <c r="C21" s="7">
        <v>100156.16550083229</v>
      </c>
      <c r="D21" s="7">
        <v>0</v>
      </c>
      <c r="E21" s="7">
        <v>0</v>
      </c>
      <c r="F21" s="17">
        <f t="shared" si="0"/>
        <v>1418953.040662345</v>
      </c>
      <c r="H21" s="4" t="s">
        <v>74</v>
      </c>
      <c r="I21" s="14"/>
      <c r="K21" s="10">
        <v>1199870</v>
      </c>
      <c r="L21" s="7">
        <v>0</v>
      </c>
      <c r="M21" s="7"/>
      <c r="N21" s="7">
        <v>436704</v>
      </c>
      <c r="O21" s="7">
        <v>0</v>
      </c>
      <c r="P21" s="7"/>
      <c r="Q21" s="7">
        <v>0</v>
      </c>
      <c r="R21" s="7">
        <v>0</v>
      </c>
      <c r="S21" s="7"/>
      <c r="T21" s="7">
        <v>1040000</v>
      </c>
      <c r="U21" s="17">
        <v>0</v>
      </c>
    </row>
    <row r="22" spans="1:21">
      <c r="A22" t="s">
        <v>16</v>
      </c>
      <c r="B22" s="10">
        <v>206994.13408119802</v>
      </c>
      <c r="C22" s="7">
        <v>233834.27528820903</v>
      </c>
      <c r="D22" s="7">
        <v>0</v>
      </c>
      <c r="E22" s="7">
        <v>0</v>
      </c>
      <c r="F22" s="17">
        <f t="shared" si="0"/>
        <v>440828.40936940705</v>
      </c>
      <c r="H22" s="4" t="s">
        <v>75</v>
      </c>
      <c r="I22" s="14">
        <v>370225</v>
      </c>
      <c r="K22" s="10">
        <v>450000</v>
      </c>
      <c r="L22" s="7">
        <v>0</v>
      </c>
      <c r="M22" s="7"/>
      <c r="N22" s="7">
        <v>300000</v>
      </c>
      <c r="O22" s="7">
        <v>0</v>
      </c>
      <c r="P22" s="7"/>
      <c r="Q22" s="7">
        <v>0</v>
      </c>
      <c r="R22" s="7">
        <v>0</v>
      </c>
      <c r="S22" s="7"/>
      <c r="T22" s="7">
        <v>0</v>
      </c>
      <c r="U22" s="17">
        <v>0</v>
      </c>
    </row>
    <row r="23" spans="1:21">
      <c r="A23" t="s">
        <v>17</v>
      </c>
      <c r="B23" s="10">
        <v>463049.81598601618</v>
      </c>
      <c r="C23" s="7">
        <v>16293.657521044979</v>
      </c>
      <c r="D23" s="7">
        <v>0</v>
      </c>
      <c r="E23" s="7">
        <v>0</v>
      </c>
      <c r="F23" s="17">
        <f t="shared" si="0"/>
        <v>479343.47350706114</v>
      </c>
      <c r="H23" s="4" t="s">
        <v>76</v>
      </c>
      <c r="I23" s="14"/>
      <c r="K23" s="10">
        <v>643875</v>
      </c>
      <c r="L23" s="7">
        <v>150000</v>
      </c>
      <c r="M23" s="7"/>
      <c r="N23" s="7">
        <v>11600</v>
      </c>
      <c r="O23" s="7">
        <v>0</v>
      </c>
      <c r="P23" s="7"/>
      <c r="Q23" s="7">
        <v>0</v>
      </c>
      <c r="R23" s="7">
        <v>0</v>
      </c>
      <c r="S23" s="7"/>
      <c r="T23" s="7">
        <v>0</v>
      </c>
      <c r="U23" s="17">
        <v>0</v>
      </c>
    </row>
    <row r="24" spans="1:21">
      <c r="A24" t="s">
        <v>18</v>
      </c>
      <c r="B24" s="10">
        <v>-9.1277078228608876E-12</v>
      </c>
      <c r="C24" s="7">
        <v>0</v>
      </c>
      <c r="D24" s="7">
        <v>0</v>
      </c>
      <c r="E24" s="7">
        <v>0</v>
      </c>
      <c r="F24" s="17">
        <f t="shared" si="0"/>
        <v>-9.1277078228608876E-12</v>
      </c>
      <c r="H24" s="4" t="s">
        <v>77</v>
      </c>
      <c r="I24" s="14">
        <v>53095510.000000015</v>
      </c>
      <c r="K24" s="10"/>
      <c r="L24" s="7"/>
      <c r="M24" s="7"/>
      <c r="N24" s="7"/>
      <c r="O24" s="7"/>
      <c r="P24" s="7"/>
      <c r="Q24" s="7"/>
      <c r="R24" s="7"/>
      <c r="S24" s="7"/>
      <c r="T24" s="7"/>
      <c r="U24" s="17"/>
    </row>
    <row r="25" spans="1:21">
      <c r="A25" t="s">
        <v>19</v>
      </c>
      <c r="B25" s="10">
        <v>91095.975598173856</v>
      </c>
      <c r="C25" s="7">
        <v>0</v>
      </c>
      <c r="D25" s="7">
        <v>0</v>
      </c>
      <c r="E25" s="7">
        <v>63527.409572908771</v>
      </c>
      <c r="F25" s="17">
        <f t="shared" si="0"/>
        <v>154623.38517108263</v>
      </c>
      <c r="H25" s="4"/>
      <c r="I25" s="14"/>
      <c r="K25" s="10">
        <v>230000</v>
      </c>
      <c r="L25" s="7">
        <v>0</v>
      </c>
      <c r="M25" s="7"/>
      <c r="N25" s="7">
        <v>0</v>
      </c>
      <c r="O25" s="7">
        <v>0</v>
      </c>
      <c r="P25" s="7"/>
      <c r="Q25" s="7">
        <v>0</v>
      </c>
      <c r="R25" s="7">
        <v>0</v>
      </c>
      <c r="S25" s="7"/>
      <c r="T25" s="7">
        <v>0</v>
      </c>
      <c r="U25" s="17">
        <v>0</v>
      </c>
    </row>
    <row r="26" spans="1:21">
      <c r="A26" t="s">
        <v>20</v>
      </c>
      <c r="B26" s="10">
        <v>-9.1277078228608876E-12</v>
      </c>
      <c r="C26" s="7">
        <v>0</v>
      </c>
      <c r="D26" s="7">
        <v>0</v>
      </c>
      <c r="E26" s="7">
        <v>0</v>
      </c>
      <c r="F26" s="17">
        <f t="shared" si="0"/>
        <v>-9.1277078228608876E-12</v>
      </c>
      <c r="H26" s="4" t="s">
        <v>78</v>
      </c>
      <c r="I26" s="14">
        <f>SUM(I10:I16)-SUM(I19:I24)</f>
        <v>107771884.28942651</v>
      </c>
      <c r="K26" s="10"/>
      <c r="L26" s="7"/>
      <c r="M26" s="7"/>
      <c r="N26" s="7"/>
      <c r="O26" s="7"/>
      <c r="P26" s="7"/>
      <c r="Q26" s="7"/>
      <c r="R26" s="7"/>
      <c r="S26" s="7"/>
      <c r="T26" s="7"/>
      <c r="U26" s="17"/>
    </row>
    <row r="27" spans="1:21">
      <c r="A27" t="s">
        <v>21</v>
      </c>
      <c r="B27" s="10">
        <v>1597296.9321046805</v>
      </c>
      <c r="C27" s="7">
        <v>0</v>
      </c>
      <c r="D27" s="7">
        <v>0</v>
      </c>
      <c r="E27" s="7">
        <v>0</v>
      </c>
      <c r="F27" s="17">
        <f t="shared" si="0"/>
        <v>1597296.9321046805</v>
      </c>
      <c r="H27" s="4" t="s">
        <v>79</v>
      </c>
      <c r="I27" s="14">
        <f>+F60</f>
        <v>107771884.28932656</v>
      </c>
      <c r="K27" s="10">
        <v>2000000</v>
      </c>
      <c r="L27" s="7">
        <v>0</v>
      </c>
      <c r="M27" s="7"/>
      <c r="N27" s="7">
        <v>0</v>
      </c>
      <c r="O27" s="7">
        <v>0</v>
      </c>
      <c r="P27" s="7"/>
      <c r="Q27" s="7">
        <v>0</v>
      </c>
      <c r="R27" s="7">
        <v>0</v>
      </c>
      <c r="S27" s="7"/>
      <c r="T27" s="7">
        <v>0</v>
      </c>
      <c r="U27" s="17">
        <v>0</v>
      </c>
    </row>
    <row r="28" spans="1:21">
      <c r="A28" t="s">
        <v>22</v>
      </c>
      <c r="B28" s="10">
        <v>5152238.5928368121</v>
      </c>
      <c r="C28" s="7">
        <v>1623654.5836483147</v>
      </c>
      <c r="D28" s="7">
        <v>0</v>
      </c>
      <c r="E28" s="7">
        <v>3488709.6226289072</v>
      </c>
      <c r="F28" s="17">
        <f t="shared" si="0"/>
        <v>10264602.799114034</v>
      </c>
      <c r="H28" s="23"/>
      <c r="I28" s="25"/>
      <c r="K28" s="10">
        <v>4100000</v>
      </c>
      <c r="L28" s="7">
        <v>900647</v>
      </c>
      <c r="M28" s="7"/>
      <c r="N28" s="7">
        <v>2500000</v>
      </c>
      <c r="O28" s="7">
        <v>0</v>
      </c>
      <c r="P28" s="7"/>
      <c r="Q28" s="7">
        <v>0</v>
      </c>
      <c r="R28" s="7">
        <v>0</v>
      </c>
      <c r="S28" s="7"/>
      <c r="T28" s="7">
        <v>10300000</v>
      </c>
      <c r="U28" s="17">
        <v>4497170</v>
      </c>
    </row>
    <row r="29" spans="1:21">
      <c r="A29" t="s">
        <v>23</v>
      </c>
      <c r="B29" s="10">
        <v>-0.16783278852457931</v>
      </c>
      <c r="C29" s="7">
        <v>63781.957171025162</v>
      </c>
      <c r="D29" s="7">
        <v>0</v>
      </c>
      <c r="E29" s="7">
        <v>2511981.8102247044</v>
      </c>
      <c r="F29" s="17">
        <f t="shared" si="0"/>
        <v>2575763.5995629411</v>
      </c>
      <c r="K29" s="10">
        <v>447000</v>
      </c>
      <c r="L29" s="7">
        <v>353520</v>
      </c>
      <c r="M29" s="7"/>
      <c r="N29" s="7">
        <v>3170000</v>
      </c>
      <c r="O29" s="7">
        <v>2592480</v>
      </c>
      <c r="P29" s="7"/>
      <c r="Q29" s="7">
        <v>0</v>
      </c>
      <c r="R29" s="7">
        <v>0</v>
      </c>
      <c r="S29" s="7"/>
      <c r="T29" s="7">
        <v>0</v>
      </c>
      <c r="U29" s="17">
        <v>0</v>
      </c>
    </row>
    <row r="30" spans="1:21">
      <c r="A30" t="s">
        <v>24</v>
      </c>
      <c r="B30" s="10">
        <v>275957.44318868459</v>
      </c>
      <c r="C30" s="7">
        <v>17539.392914920048</v>
      </c>
      <c r="D30" s="7">
        <v>0</v>
      </c>
      <c r="E30" s="7">
        <v>0</v>
      </c>
      <c r="F30" s="17">
        <f t="shared" si="0"/>
        <v>293496.83610360464</v>
      </c>
      <c r="K30" s="10">
        <v>368000</v>
      </c>
      <c r="L30" s="7">
        <v>0</v>
      </c>
      <c r="M30" s="7"/>
      <c r="N30" s="7">
        <v>32000</v>
      </c>
      <c r="O30" s="7">
        <v>0</v>
      </c>
      <c r="P30" s="7"/>
      <c r="Q30" s="7">
        <v>0</v>
      </c>
      <c r="R30" s="7">
        <v>0</v>
      </c>
      <c r="S30" s="7"/>
      <c r="T30" s="7">
        <v>0</v>
      </c>
      <c r="U30" s="17">
        <v>0</v>
      </c>
    </row>
    <row r="31" spans="1:21">
      <c r="A31" t="s">
        <v>25</v>
      </c>
      <c r="B31" s="10">
        <v>542974.70006596227</v>
      </c>
      <c r="C31" s="7">
        <v>184123.87091220744</v>
      </c>
      <c r="D31" s="7">
        <v>0</v>
      </c>
      <c r="E31" s="7">
        <v>0</v>
      </c>
      <c r="F31" s="17">
        <f t="shared" si="0"/>
        <v>727098.57097816968</v>
      </c>
      <c r="K31" s="10">
        <v>1650000</v>
      </c>
      <c r="L31" s="7">
        <v>0</v>
      </c>
      <c r="M31" s="7"/>
      <c r="N31" s="7">
        <v>353704</v>
      </c>
      <c r="O31" s="7">
        <v>0</v>
      </c>
      <c r="P31" s="7"/>
      <c r="Q31" s="7">
        <v>0</v>
      </c>
      <c r="R31" s="7">
        <v>0</v>
      </c>
      <c r="S31" s="7"/>
      <c r="T31" s="7">
        <v>0</v>
      </c>
      <c r="U31" s="17">
        <v>0</v>
      </c>
    </row>
    <row r="32" spans="1:21">
      <c r="A32" t="s">
        <v>26</v>
      </c>
      <c r="B32" s="10">
        <v>242360.85708178085</v>
      </c>
      <c r="C32" s="7">
        <v>115185.89735250083</v>
      </c>
      <c r="D32" s="7">
        <v>0</v>
      </c>
      <c r="E32" s="7">
        <v>0</v>
      </c>
      <c r="F32" s="17">
        <f t="shared" si="0"/>
        <v>357546.75443428167</v>
      </c>
      <c r="K32" s="10">
        <v>429300</v>
      </c>
      <c r="L32" s="7">
        <v>0</v>
      </c>
      <c r="M32" s="7"/>
      <c r="N32" s="7">
        <v>56000</v>
      </c>
      <c r="O32" s="7">
        <v>0</v>
      </c>
      <c r="P32" s="7"/>
      <c r="Q32" s="7">
        <v>0</v>
      </c>
      <c r="R32" s="7">
        <v>0</v>
      </c>
      <c r="S32" s="7"/>
      <c r="T32" s="7">
        <v>0</v>
      </c>
      <c r="U32" s="17">
        <v>0</v>
      </c>
    </row>
    <row r="33" spans="1:21">
      <c r="A33" t="s">
        <v>27</v>
      </c>
      <c r="B33" s="10">
        <v>1175462.8869599234</v>
      </c>
      <c r="C33" s="7">
        <v>118869.58545760059</v>
      </c>
      <c r="D33" s="7">
        <v>0</v>
      </c>
      <c r="E33" s="7">
        <v>0</v>
      </c>
      <c r="F33" s="17">
        <f t="shared" si="0"/>
        <v>1294332.4724175241</v>
      </c>
      <c r="K33" s="10">
        <v>1639125</v>
      </c>
      <c r="L33" s="7">
        <v>137750</v>
      </c>
      <c r="M33" s="7"/>
      <c r="N33" s="7">
        <v>102116</v>
      </c>
      <c r="O33" s="7">
        <v>7250</v>
      </c>
      <c r="P33" s="7"/>
      <c r="Q33" s="7">
        <v>0</v>
      </c>
      <c r="R33" s="7">
        <v>0</v>
      </c>
      <c r="S33" s="7"/>
      <c r="T33" s="7">
        <v>0</v>
      </c>
      <c r="U33" s="17">
        <v>0</v>
      </c>
    </row>
    <row r="34" spans="1:21">
      <c r="A34" t="s">
        <v>28</v>
      </c>
      <c r="B34" s="10">
        <v>113150.48840382474</v>
      </c>
      <c r="C34" s="7">
        <v>15750.539166353103</v>
      </c>
      <c r="D34" s="7">
        <v>0</v>
      </c>
      <c r="E34" s="7">
        <v>0</v>
      </c>
      <c r="F34" s="17">
        <f t="shared" si="0"/>
        <v>128901.02757017784</v>
      </c>
      <c r="K34" s="10">
        <v>213900</v>
      </c>
      <c r="L34" s="7">
        <v>0</v>
      </c>
      <c r="M34" s="7"/>
      <c r="N34" s="7">
        <v>9500</v>
      </c>
      <c r="O34" s="7">
        <v>0</v>
      </c>
      <c r="P34" s="7"/>
      <c r="Q34" s="7">
        <v>0</v>
      </c>
      <c r="R34" s="7">
        <v>0</v>
      </c>
      <c r="S34" s="7"/>
      <c r="T34" s="7">
        <v>0</v>
      </c>
      <c r="U34" s="17">
        <v>0</v>
      </c>
    </row>
    <row r="35" spans="1:21">
      <c r="A35" t="s">
        <v>29</v>
      </c>
      <c r="B35" s="10">
        <v>387562.77108934097</v>
      </c>
      <c r="C35" s="7">
        <v>146758.0237701415</v>
      </c>
      <c r="D35" s="7">
        <v>0</v>
      </c>
      <c r="E35" s="7">
        <v>606591.51455761492</v>
      </c>
      <c r="F35" s="17">
        <f t="shared" si="0"/>
        <v>1140912.3094170974</v>
      </c>
      <c r="K35" s="10">
        <v>1283000</v>
      </c>
      <c r="L35" s="7">
        <v>250000</v>
      </c>
      <c r="M35" s="7"/>
      <c r="N35" s="7">
        <v>1217000</v>
      </c>
      <c r="O35" s="7">
        <v>550000</v>
      </c>
      <c r="P35" s="7"/>
      <c r="Q35" s="7">
        <v>0</v>
      </c>
      <c r="R35" s="7">
        <v>0</v>
      </c>
      <c r="S35" s="7"/>
      <c r="T35" s="7">
        <v>0</v>
      </c>
      <c r="U35" s="17">
        <v>0</v>
      </c>
    </row>
    <row r="36" spans="1:21">
      <c r="A36" t="s">
        <v>30</v>
      </c>
      <c r="B36" s="10">
        <v>7666425.5446195025</v>
      </c>
      <c r="C36" s="7">
        <v>1532810.5499663583</v>
      </c>
      <c r="D36" s="7">
        <v>0</v>
      </c>
      <c r="E36" s="7">
        <v>3475897.1093027247</v>
      </c>
      <c r="F36" s="17">
        <f t="shared" si="0"/>
        <v>12675133.203888584</v>
      </c>
      <c r="K36" s="10">
        <v>5500000</v>
      </c>
      <c r="L36" s="7">
        <v>3764806</v>
      </c>
      <c r="M36" s="7"/>
      <c r="N36" s="7">
        <v>2508522</v>
      </c>
      <c r="O36" s="7">
        <v>4520000</v>
      </c>
      <c r="P36" s="7"/>
      <c r="Q36" s="7">
        <v>0</v>
      </c>
      <c r="R36" s="7">
        <v>0</v>
      </c>
      <c r="S36" s="7"/>
      <c r="T36" s="7">
        <v>11404352</v>
      </c>
      <c r="U36" s="17">
        <v>0</v>
      </c>
    </row>
    <row r="37" spans="1:21">
      <c r="A37" t="s">
        <v>31</v>
      </c>
      <c r="B37" s="10">
        <v>208515.96904206881</v>
      </c>
      <c r="C37" s="7">
        <v>48565.512374816084</v>
      </c>
      <c r="D37" s="7">
        <v>0</v>
      </c>
      <c r="E37" s="7">
        <v>0</v>
      </c>
      <c r="F37" s="17">
        <f t="shared" si="0"/>
        <v>257081.4814168849</v>
      </c>
      <c r="K37" s="10">
        <v>260000</v>
      </c>
      <c r="L37" s="7">
        <v>0</v>
      </c>
      <c r="M37" s="7"/>
      <c r="N37" s="7">
        <v>55263</v>
      </c>
      <c r="O37" s="7">
        <v>0</v>
      </c>
      <c r="P37" s="7"/>
      <c r="Q37" s="7">
        <v>0</v>
      </c>
      <c r="R37" s="7">
        <v>0</v>
      </c>
      <c r="S37" s="7"/>
      <c r="T37" s="7">
        <v>0</v>
      </c>
      <c r="U37" s="17">
        <v>0</v>
      </c>
    </row>
    <row r="38" spans="1:21">
      <c r="A38" t="s">
        <v>32</v>
      </c>
      <c r="B38" s="10">
        <v>1.8255415645721775E-11</v>
      </c>
      <c r="C38" s="7">
        <v>0</v>
      </c>
      <c r="D38" s="7">
        <v>0</v>
      </c>
      <c r="E38" s="7">
        <v>0</v>
      </c>
      <c r="F38" s="17">
        <f t="shared" ref="F38:F58" si="1">SUM(B38:E38)</f>
        <v>1.8255415645721775E-11</v>
      </c>
      <c r="K38" s="10"/>
      <c r="L38" s="7"/>
      <c r="M38" s="7"/>
      <c r="N38" s="7"/>
      <c r="O38" s="7"/>
      <c r="P38" s="7"/>
      <c r="Q38" s="7"/>
      <c r="R38" s="7"/>
      <c r="S38" s="7"/>
      <c r="T38" s="7"/>
      <c r="U38" s="17"/>
    </row>
    <row r="39" spans="1:21">
      <c r="A39" t="s">
        <v>33</v>
      </c>
      <c r="B39" s="10">
        <v>3052185.4458485348</v>
      </c>
      <c r="C39" s="7">
        <v>343418.76181308599</v>
      </c>
      <c r="D39" s="7">
        <v>0</v>
      </c>
      <c r="E39" s="7">
        <v>220574.21016391029</v>
      </c>
      <c r="F39" s="17">
        <f t="shared" si="1"/>
        <v>3616178.4178255312</v>
      </c>
      <c r="K39" s="10">
        <v>5044000</v>
      </c>
      <c r="L39" s="7">
        <v>533500</v>
      </c>
      <c r="M39" s="7"/>
      <c r="N39" s="7">
        <v>156000</v>
      </c>
      <c r="O39" s="7">
        <v>0</v>
      </c>
      <c r="P39" s="7"/>
      <c r="Q39" s="7">
        <v>0</v>
      </c>
      <c r="R39" s="7">
        <v>0</v>
      </c>
      <c r="S39" s="7"/>
      <c r="T39" s="7">
        <v>0</v>
      </c>
      <c r="U39" s="17">
        <v>0</v>
      </c>
    </row>
    <row r="40" spans="1:21">
      <c r="A40" t="s">
        <v>34</v>
      </c>
      <c r="B40" s="10">
        <v>140060.2540917125</v>
      </c>
      <c r="C40" s="7">
        <v>19002.236543751387</v>
      </c>
      <c r="D40" s="7">
        <v>0</v>
      </c>
      <c r="E40" s="7">
        <v>0</v>
      </c>
      <c r="F40" s="17">
        <f t="shared" si="1"/>
        <v>159062.49063546388</v>
      </c>
      <c r="K40" s="10">
        <v>192600</v>
      </c>
      <c r="L40" s="7">
        <v>0</v>
      </c>
      <c r="M40" s="7"/>
      <c r="N40" s="7">
        <v>16600</v>
      </c>
      <c r="O40" s="7">
        <v>0</v>
      </c>
      <c r="P40" s="7"/>
      <c r="Q40" s="7">
        <v>0</v>
      </c>
      <c r="R40" s="7">
        <v>0</v>
      </c>
      <c r="S40" s="7"/>
      <c r="T40" s="7">
        <v>0</v>
      </c>
      <c r="U40" s="17">
        <v>0</v>
      </c>
    </row>
    <row r="41" spans="1:21">
      <c r="A41" t="s">
        <v>35</v>
      </c>
      <c r="B41" s="10">
        <v>3581863.0929267509</v>
      </c>
      <c r="C41" s="7">
        <v>314940.96839188098</v>
      </c>
      <c r="D41" s="7">
        <v>0</v>
      </c>
      <c r="E41" s="7">
        <v>480900.52422852605</v>
      </c>
      <c r="F41" s="17">
        <f t="shared" si="1"/>
        <v>4377704.5855471576</v>
      </c>
      <c r="K41" s="10">
        <v>3500000</v>
      </c>
      <c r="L41" s="7">
        <v>0</v>
      </c>
      <c r="M41" s="7"/>
      <c r="N41" s="7">
        <v>200000</v>
      </c>
      <c r="O41" s="7">
        <v>0</v>
      </c>
      <c r="P41" s="7"/>
      <c r="Q41" s="7">
        <v>0</v>
      </c>
      <c r="R41" s="7">
        <v>0</v>
      </c>
      <c r="S41" s="7"/>
      <c r="T41" s="7">
        <v>3000000</v>
      </c>
      <c r="U41" s="17">
        <v>0</v>
      </c>
    </row>
    <row r="42" spans="1:21">
      <c r="A42" t="s">
        <v>36</v>
      </c>
      <c r="B42" s="10">
        <v>409298.05243970372</v>
      </c>
      <c r="C42" s="7">
        <v>257551.75128118935</v>
      </c>
      <c r="D42" s="7">
        <v>0</v>
      </c>
      <c r="E42" s="7">
        <v>0</v>
      </c>
      <c r="F42" s="17">
        <f t="shared" si="1"/>
        <v>666849.80372089311</v>
      </c>
      <c r="K42" s="10">
        <v>768000</v>
      </c>
      <c r="L42" s="7">
        <v>160000</v>
      </c>
      <c r="M42" s="7"/>
      <c r="N42" s="7">
        <v>432000</v>
      </c>
      <c r="O42" s="7">
        <v>90000</v>
      </c>
      <c r="P42" s="7"/>
      <c r="Q42" s="7">
        <v>0</v>
      </c>
      <c r="R42" s="7">
        <v>0</v>
      </c>
      <c r="S42" s="7"/>
      <c r="T42" s="7">
        <v>0</v>
      </c>
      <c r="U42" s="17">
        <v>0</v>
      </c>
    </row>
    <row r="43" spans="1:21">
      <c r="A43" t="s">
        <v>37</v>
      </c>
      <c r="B43" s="10">
        <v>489968.00964793668</v>
      </c>
      <c r="C43" s="7">
        <v>3301.1485090083479</v>
      </c>
      <c r="D43" s="7">
        <v>0</v>
      </c>
      <c r="E43" s="7">
        <v>0</v>
      </c>
      <c r="F43" s="17">
        <f t="shared" si="1"/>
        <v>493269.15815694502</v>
      </c>
      <c r="K43" s="10">
        <v>619914</v>
      </c>
      <c r="L43" s="7">
        <v>0</v>
      </c>
      <c r="M43" s="7"/>
      <c r="N43" s="7">
        <v>0</v>
      </c>
      <c r="O43" s="7">
        <v>0</v>
      </c>
      <c r="P43" s="7"/>
      <c r="Q43" s="7">
        <v>0</v>
      </c>
      <c r="R43" s="7">
        <v>0</v>
      </c>
      <c r="S43" s="7"/>
      <c r="T43" s="7">
        <v>0</v>
      </c>
      <c r="U43" s="17">
        <v>0</v>
      </c>
    </row>
    <row r="44" spans="1:21">
      <c r="A44" t="s">
        <v>38</v>
      </c>
      <c r="B44" s="10">
        <v>4843615.1087270658</v>
      </c>
      <c r="C44" s="7">
        <v>771810.76037913677</v>
      </c>
      <c r="D44" s="7">
        <v>0</v>
      </c>
      <c r="E44" s="7">
        <v>1537582.959194019</v>
      </c>
      <c r="F44" s="17">
        <f t="shared" si="1"/>
        <v>7153008.8283002209</v>
      </c>
      <c r="K44" s="10">
        <v>4460640</v>
      </c>
      <c r="L44" s="7">
        <v>0</v>
      </c>
      <c r="M44" s="7"/>
      <c r="N44" s="7">
        <v>5736310</v>
      </c>
      <c r="O44" s="7">
        <v>0</v>
      </c>
      <c r="P44" s="7"/>
      <c r="Q44" s="7">
        <v>803050</v>
      </c>
      <c r="R44" s="7">
        <v>0</v>
      </c>
      <c r="S44" s="7"/>
      <c r="T44" s="7">
        <v>0</v>
      </c>
      <c r="U44" s="17">
        <v>0</v>
      </c>
    </row>
    <row r="45" spans="1:21">
      <c r="A45" t="s">
        <v>39</v>
      </c>
      <c r="B45" s="10">
        <v>0</v>
      </c>
      <c r="C45" s="7">
        <v>0</v>
      </c>
      <c r="D45" s="7">
        <v>0</v>
      </c>
      <c r="E45" s="7">
        <v>0</v>
      </c>
      <c r="F45" s="17">
        <f t="shared" si="1"/>
        <v>0</v>
      </c>
      <c r="K45" s="10">
        <v>14808</v>
      </c>
      <c r="L45" s="7">
        <v>0</v>
      </c>
      <c r="M45" s="7"/>
      <c r="N45" s="7">
        <v>0</v>
      </c>
      <c r="O45" s="7">
        <v>0</v>
      </c>
      <c r="P45" s="7"/>
      <c r="Q45" s="7">
        <v>0</v>
      </c>
      <c r="R45" s="7">
        <v>0</v>
      </c>
      <c r="S45" s="7"/>
      <c r="T45" s="7">
        <v>0</v>
      </c>
      <c r="U45" s="17">
        <v>0</v>
      </c>
    </row>
    <row r="46" spans="1:21">
      <c r="A46" t="s">
        <v>40</v>
      </c>
      <c r="B46" s="10">
        <v>335693.29553638154</v>
      </c>
      <c r="C46" s="7">
        <v>0</v>
      </c>
      <c r="D46" s="7">
        <v>0</v>
      </c>
      <c r="E46" s="7">
        <v>0</v>
      </c>
      <c r="F46" s="17">
        <f t="shared" si="1"/>
        <v>335693.29553638154</v>
      </c>
      <c r="K46" s="10">
        <v>427727</v>
      </c>
      <c r="L46" s="7">
        <v>0</v>
      </c>
      <c r="M46" s="7"/>
      <c r="N46" s="7">
        <v>0</v>
      </c>
      <c r="O46" s="7">
        <v>0</v>
      </c>
      <c r="P46" s="7"/>
      <c r="Q46" s="7">
        <v>0</v>
      </c>
      <c r="R46" s="7">
        <v>0</v>
      </c>
      <c r="S46" s="7"/>
      <c r="T46" s="7">
        <v>0</v>
      </c>
      <c r="U46" s="17">
        <v>0</v>
      </c>
    </row>
    <row r="47" spans="1:21">
      <c r="A47" t="s">
        <v>41</v>
      </c>
      <c r="B47" s="10">
        <v>843068.01987795252</v>
      </c>
      <c r="C47" s="7">
        <v>200263.29414375377</v>
      </c>
      <c r="D47" s="7">
        <v>0</v>
      </c>
      <c r="E47" s="7">
        <v>0</v>
      </c>
      <c r="F47" s="17">
        <f t="shared" si="1"/>
        <v>1043331.3140217063</v>
      </c>
      <c r="K47" s="10">
        <v>928000</v>
      </c>
      <c r="L47" s="7">
        <v>0</v>
      </c>
      <c r="M47" s="7"/>
      <c r="N47" s="7">
        <v>72000</v>
      </c>
      <c r="O47" s="7">
        <v>0</v>
      </c>
      <c r="P47" s="7"/>
      <c r="Q47" s="7">
        <v>0</v>
      </c>
      <c r="R47" s="7">
        <v>0</v>
      </c>
      <c r="S47" s="7"/>
      <c r="T47" s="7">
        <v>0</v>
      </c>
      <c r="U47" s="17">
        <v>0</v>
      </c>
    </row>
    <row r="48" spans="1:21">
      <c r="A48" t="s">
        <v>42</v>
      </c>
      <c r="B48" s="10">
        <v>131885.38876882044</v>
      </c>
      <c r="C48" s="7">
        <v>0</v>
      </c>
      <c r="D48" s="7">
        <v>0</v>
      </c>
      <c r="E48" s="7">
        <v>0</v>
      </c>
      <c r="F48" s="17">
        <f t="shared" si="1"/>
        <v>131885.38876882044</v>
      </c>
      <c r="K48" s="10">
        <v>181962</v>
      </c>
      <c r="L48" s="7">
        <v>0</v>
      </c>
      <c r="M48" s="7"/>
      <c r="N48" s="7">
        <v>0</v>
      </c>
      <c r="O48" s="7">
        <v>0</v>
      </c>
      <c r="P48" s="7"/>
      <c r="Q48" s="7">
        <v>0</v>
      </c>
      <c r="R48" s="7">
        <v>0</v>
      </c>
      <c r="S48" s="7"/>
      <c r="T48" s="7">
        <v>0</v>
      </c>
      <c r="U48" s="17">
        <v>0</v>
      </c>
    </row>
    <row r="49" spans="1:21">
      <c r="A49" t="s">
        <v>43</v>
      </c>
      <c r="B49" s="10">
        <v>588583.05067310855</v>
      </c>
      <c r="C49" s="7">
        <v>14039.746131528818</v>
      </c>
      <c r="D49" s="7">
        <v>0</v>
      </c>
      <c r="E49" s="7">
        <v>0</v>
      </c>
      <c r="F49" s="17">
        <f t="shared" si="1"/>
        <v>602622.79680463742</v>
      </c>
      <c r="K49" s="10">
        <v>800000</v>
      </c>
      <c r="L49" s="7">
        <v>0</v>
      </c>
      <c r="M49" s="7"/>
      <c r="N49" s="7">
        <v>15000</v>
      </c>
      <c r="O49" s="7">
        <v>0</v>
      </c>
      <c r="P49" s="7"/>
      <c r="Q49" s="7">
        <v>0</v>
      </c>
      <c r="R49" s="7">
        <v>0</v>
      </c>
      <c r="S49" s="7"/>
      <c r="T49" s="7">
        <v>0</v>
      </c>
      <c r="U49" s="17">
        <v>0</v>
      </c>
    </row>
    <row r="50" spans="1:21">
      <c r="A50" t="s">
        <v>44</v>
      </c>
      <c r="B50" s="10">
        <v>4934536.468305232</v>
      </c>
      <c r="C50" s="7">
        <v>1144511.8900886397</v>
      </c>
      <c r="D50" s="7">
        <v>0</v>
      </c>
      <c r="E50" s="7">
        <v>2826406.0037620002</v>
      </c>
      <c r="F50" s="17">
        <f t="shared" si="1"/>
        <v>8905454.3621558733</v>
      </c>
      <c r="K50" s="10">
        <v>7943606</v>
      </c>
      <c r="L50" s="7">
        <v>2763533.6333499998</v>
      </c>
      <c r="M50" s="7"/>
      <c r="N50" s="7">
        <v>3266771</v>
      </c>
      <c r="O50" s="7">
        <v>1029679.6889800001</v>
      </c>
      <c r="P50" s="7"/>
      <c r="Q50" s="7">
        <v>1337174</v>
      </c>
      <c r="R50" s="7">
        <v>421519.62766999996</v>
      </c>
      <c r="S50" s="7"/>
      <c r="T50" s="7">
        <v>0</v>
      </c>
      <c r="U50" s="17">
        <v>0</v>
      </c>
    </row>
    <row r="51" spans="1:21">
      <c r="A51" t="s">
        <v>45</v>
      </c>
      <c r="B51" s="10">
        <v>339971.13359161536</v>
      </c>
      <c r="C51" s="7">
        <v>69266.537862663172</v>
      </c>
      <c r="D51" s="7">
        <v>0</v>
      </c>
      <c r="E51" s="7">
        <v>72.620737192916692</v>
      </c>
      <c r="F51" s="17">
        <f t="shared" si="1"/>
        <v>409310.29219147144</v>
      </c>
      <c r="K51" s="10">
        <v>591592</v>
      </c>
      <c r="L51" s="7">
        <v>0</v>
      </c>
      <c r="M51" s="7"/>
      <c r="N51" s="7">
        <v>97832</v>
      </c>
      <c r="O51" s="7">
        <v>0</v>
      </c>
      <c r="P51" s="7"/>
      <c r="Q51" s="7">
        <v>250</v>
      </c>
      <c r="R51" s="7">
        <v>0</v>
      </c>
      <c r="S51" s="7"/>
      <c r="T51" s="7">
        <v>0</v>
      </c>
      <c r="U51" s="17">
        <v>0</v>
      </c>
    </row>
    <row r="52" spans="1:21">
      <c r="A52" t="s">
        <v>46</v>
      </c>
      <c r="B52" s="10">
        <v>48499.916294738781</v>
      </c>
      <c r="C52" s="7">
        <v>2806.4091898294328</v>
      </c>
      <c r="D52" s="7">
        <v>0</v>
      </c>
      <c r="E52" s="7">
        <v>0</v>
      </c>
      <c r="F52" s="17">
        <f t="shared" si="1"/>
        <v>51306.325484568217</v>
      </c>
      <c r="K52" s="10">
        <v>81000</v>
      </c>
      <c r="L52" s="7">
        <v>0</v>
      </c>
      <c r="M52" s="7"/>
      <c r="N52" s="7">
        <v>6000</v>
      </c>
      <c r="O52" s="7">
        <v>0</v>
      </c>
      <c r="P52" s="7"/>
      <c r="Q52" s="7">
        <v>0</v>
      </c>
      <c r="R52" s="7">
        <v>0</v>
      </c>
      <c r="S52" s="7"/>
      <c r="T52" s="7">
        <v>0</v>
      </c>
      <c r="U52" s="17">
        <v>0</v>
      </c>
    </row>
    <row r="53" spans="1:21">
      <c r="A53" t="s">
        <v>47</v>
      </c>
      <c r="B53" s="10">
        <v>757038.4174061669</v>
      </c>
      <c r="C53" s="7">
        <v>5751.7039767025781</v>
      </c>
      <c r="D53" s="7">
        <v>0</v>
      </c>
      <c r="E53" s="7">
        <v>0</v>
      </c>
      <c r="F53" s="17">
        <f t="shared" si="1"/>
        <v>762790.12138286943</v>
      </c>
      <c r="K53" s="10">
        <v>2000000</v>
      </c>
      <c r="L53" s="7">
        <v>2556164</v>
      </c>
      <c r="M53" s="7"/>
      <c r="N53" s="7">
        <v>85000</v>
      </c>
      <c r="O53" s="7">
        <v>0</v>
      </c>
      <c r="P53" s="7"/>
      <c r="Q53" s="7">
        <v>0</v>
      </c>
      <c r="R53" s="7">
        <v>0</v>
      </c>
      <c r="S53" s="7"/>
      <c r="T53" s="7">
        <v>0</v>
      </c>
      <c r="U53" s="17">
        <v>0</v>
      </c>
    </row>
    <row r="54" spans="1:21">
      <c r="A54" t="s">
        <v>48</v>
      </c>
      <c r="B54" s="10">
        <v>897637.48914674611</v>
      </c>
      <c r="C54" s="7">
        <v>220689.25586073886</v>
      </c>
      <c r="D54" s="7">
        <v>0</v>
      </c>
      <c r="E54" s="7">
        <v>0</v>
      </c>
      <c r="F54" s="17">
        <f t="shared" si="1"/>
        <v>1118326.7450074849</v>
      </c>
      <c r="K54" s="10">
        <v>1175000</v>
      </c>
      <c r="L54" s="7">
        <v>315235</v>
      </c>
      <c r="M54" s="7"/>
      <c r="N54" s="7">
        <v>400000</v>
      </c>
      <c r="O54" s="7">
        <v>288326</v>
      </c>
      <c r="P54" s="7"/>
      <c r="Q54" s="7">
        <v>0</v>
      </c>
      <c r="R54" s="7">
        <v>0</v>
      </c>
      <c r="S54" s="7"/>
      <c r="T54" s="7">
        <v>0</v>
      </c>
      <c r="U54" s="17">
        <v>0</v>
      </c>
    </row>
    <row r="55" spans="1:21">
      <c r="A55" t="s">
        <v>49</v>
      </c>
      <c r="B55" s="10">
        <v>94120.972398916958</v>
      </c>
      <c r="C55" s="7">
        <v>1050.880103837243</v>
      </c>
      <c r="D55" s="7">
        <v>0</v>
      </c>
      <c r="E55" s="7">
        <v>0</v>
      </c>
      <c r="F55" s="17">
        <f t="shared" si="1"/>
        <v>95171.852502754205</v>
      </c>
      <c r="K55" s="10">
        <v>157506</v>
      </c>
      <c r="L55" s="7">
        <v>86553</v>
      </c>
      <c r="M55" s="7"/>
      <c r="N55" s="7">
        <v>101999</v>
      </c>
      <c r="O55" s="7">
        <v>24519</v>
      </c>
      <c r="P55" s="7"/>
      <c r="Q55" s="7">
        <v>0</v>
      </c>
      <c r="R55" s="7">
        <v>0</v>
      </c>
      <c r="S55" s="7"/>
      <c r="T55" s="7">
        <v>0</v>
      </c>
      <c r="U55" s="17">
        <v>0</v>
      </c>
    </row>
    <row r="56" spans="1:21">
      <c r="A56" t="s">
        <v>50</v>
      </c>
      <c r="B56" s="10">
        <v>200473.4707609863</v>
      </c>
      <c r="C56" s="7">
        <v>198681.19213014891</v>
      </c>
      <c r="D56" s="7">
        <v>0</v>
      </c>
      <c r="E56" s="7">
        <v>0</v>
      </c>
      <c r="F56" s="17">
        <f t="shared" si="1"/>
        <v>399154.6628911352</v>
      </c>
      <c r="K56" s="10">
        <v>420000</v>
      </c>
      <c r="L56" s="7">
        <v>0</v>
      </c>
      <c r="M56" s="7"/>
      <c r="N56" s="7">
        <v>320000</v>
      </c>
      <c r="O56" s="7">
        <v>0</v>
      </c>
      <c r="P56" s="7"/>
      <c r="Q56" s="7">
        <v>0</v>
      </c>
      <c r="R56" s="7">
        <v>0</v>
      </c>
      <c r="S56" s="7"/>
      <c r="T56" s="7">
        <v>0</v>
      </c>
      <c r="U56" s="17">
        <v>0</v>
      </c>
    </row>
    <row r="57" spans="1:21">
      <c r="A57" t="s">
        <v>51</v>
      </c>
      <c r="B57" s="10">
        <v>126000.49742128108</v>
      </c>
      <c r="C57" s="7">
        <v>13571.952072195778</v>
      </c>
      <c r="D57" s="7">
        <v>0</v>
      </c>
      <c r="E57" s="7">
        <v>0</v>
      </c>
      <c r="F57" s="17">
        <f t="shared" si="1"/>
        <v>139572.44949347686</v>
      </c>
      <c r="K57" s="10">
        <v>150150</v>
      </c>
      <c r="L57" s="7">
        <v>299619</v>
      </c>
      <c r="M57" s="7"/>
      <c r="N57" s="7">
        <v>200600</v>
      </c>
      <c r="O57" s="7">
        <v>74905</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71852916.69195278</v>
      </c>
      <c r="C60" s="7">
        <f>SUM(C6:C58)</f>
        <v>17935739.178558853</v>
      </c>
      <c r="D60" s="7">
        <f>SUM(D6:D58)</f>
        <v>0</v>
      </c>
      <c r="E60" s="7">
        <f>SUM(E6:E58)</f>
        <v>17983228.418814894</v>
      </c>
      <c r="F60" s="17">
        <f>SUM(F6:F58)</f>
        <v>107771884.28932656</v>
      </c>
      <c r="K60" s="10">
        <f>SUM(K6:K58)</f>
        <v>90759188</v>
      </c>
      <c r="L60" s="7">
        <f>SUM(L6:L58)</f>
        <v>25834985.63335</v>
      </c>
      <c r="M60" s="7"/>
      <c r="N60" s="7">
        <f>SUM(N6:N58)</f>
        <v>37166103</v>
      </c>
      <c r="O60" s="7">
        <f>SUM(O6:O58)</f>
        <v>19867169.688979998</v>
      </c>
      <c r="P60" s="7"/>
      <c r="Q60" s="7">
        <f>SUM(Q6:Q58)</f>
        <v>4032883</v>
      </c>
      <c r="R60" s="7">
        <f>SUM(R6:R58)</f>
        <v>643059.62766999996</v>
      </c>
      <c r="S60" s="7"/>
      <c r="T60" s="7">
        <f>SUM(T6:T58)</f>
        <v>41826413</v>
      </c>
      <c r="U60" s="17">
        <f>SUM(U6:U58)</f>
        <v>15482766.470000001</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Italic"Inter-American Insurance Company of Illinois&amp;R&amp;"Geneva,Bold"UNAUDITED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213917.98972621374</v>
      </c>
      <c r="C6" s="7">
        <v>4252217.6922921808</v>
      </c>
      <c r="D6" s="7">
        <v>105477.45663388119</v>
      </c>
      <c r="E6" s="7">
        <v>0</v>
      </c>
      <c r="F6" s="17">
        <f t="shared" ref="F6:F37" si="0">SUM(B6:E6)</f>
        <v>4571613.1386522753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4778293.5803646231</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374183</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412005.00000000006</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164355.11666666667</v>
      </c>
      <c r="K15" s="10"/>
      <c r="L15" s="7"/>
      <c r="M15" s="7"/>
      <c r="N15" s="7"/>
      <c r="O15" s="7"/>
      <c r="P15" s="7"/>
      <c r="Q15" s="7"/>
      <c r="R15" s="7"/>
      <c r="S15" s="7"/>
      <c r="T15" s="7"/>
      <c r="U15" s="17"/>
    </row>
    <row r="16" spans="1:21">
      <c r="A16" t="s">
        <v>10</v>
      </c>
      <c r="B16" s="10">
        <v>792.15755454712018</v>
      </c>
      <c r="C16" s="7">
        <v>22214.598351498338</v>
      </c>
      <c r="D16" s="7">
        <v>202.19064585851277</v>
      </c>
      <c r="E16" s="7">
        <v>0</v>
      </c>
      <c r="F16" s="17">
        <f t="shared" si="0"/>
        <v>23208.946551903973</v>
      </c>
      <c r="H16" s="4" t="s">
        <v>70</v>
      </c>
      <c r="I16" s="14">
        <v>0</v>
      </c>
      <c r="K16" s="10">
        <v>1024</v>
      </c>
      <c r="L16" s="7">
        <v>0</v>
      </c>
      <c r="M16" s="7"/>
      <c r="N16" s="7">
        <v>28715</v>
      </c>
      <c r="O16" s="7">
        <v>1409.23</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399999.99999999994</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-807666.41963537748</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328371</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12710.545532425071</v>
      </c>
      <c r="C24" s="7">
        <v>314569.37191669049</v>
      </c>
      <c r="D24" s="7">
        <v>4055.1140133719391</v>
      </c>
      <c r="E24" s="7">
        <v>0</v>
      </c>
      <c r="F24" s="17">
        <f t="shared" si="0"/>
        <v>331335.03146248747</v>
      </c>
      <c r="H24" s="4" t="s">
        <v>77</v>
      </c>
      <c r="I24" s="14">
        <v>881975</v>
      </c>
      <c r="K24" s="10">
        <v>18000</v>
      </c>
      <c r="L24" s="7">
        <v>0</v>
      </c>
      <c r="M24" s="7"/>
      <c r="N24" s="7">
        <v>256268</v>
      </c>
      <c r="O24" s="7">
        <v>0</v>
      </c>
      <c r="P24" s="7"/>
      <c r="Q24" s="7">
        <v>7000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4926157.1166666672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4926157.1166666672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227420.69281318595</v>
      </c>
      <c r="C60" s="7">
        <f>SUM(C6:C58)</f>
        <v>4589001.6625603698</v>
      </c>
      <c r="D60" s="7">
        <f>SUM(D6:D58)</f>
        <v>109734.76129311165</v>
      </c>
      <c r="E60" s="7">
        <f>SUM(E6:E58)</f>
        <v>0</v>
      </c>
      <c r="F60" s="17">
        <f>SUM(F6:F58)</f>
        <v>4926157.1166666672</v>
      </c>
      <c r="K60" s="10">
        <f>SUM(K6:K58)</f>
        <v>19024</v>
      </c>
      <c r="L60" s="7">
        <f>SUM(L6:L58)</f>
        <v>0</v>
      </c>
      <c r="M60" s="7"/>
      <c r="N60" s="7">
        <f>SUM(N6:N58)</f>
        <v>284983</v>
      </c>
      <c r="O60" s="7">
        <f>SUM(O6:O58)</f>
        <v>1409.23</v>
      </c>
      <c r="P60" s="7"/>
      <c r="Q60" s="7">
        <f>SUM(Q6:Q58)</f>
        <v>7000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Educators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1426.5377669093832</v>
      </c>
      <c r="C6" s="7">
        <v>0</v>
      </c>
      <c r="D6" s="7">
        <v>0</v>
      </c>
      <c r="E6" s="7">
        <v>0</v>
      </c>
      <c r="F6" s="17">
        <f t="shared" ref="F6:F37" si="0">SUM(B6:E6)</f>
        <v>1426.5377669093832</v>
      </c>
      <c r="K6" s="10"/>
      <c r="L6" s="7"/>
      <c r="M6" s="7"/>
      <c r="N6" s="7"/>
      <c r="O6" s="7"/>
      <c r="P6" s="7"/>
      <c r="Q6" s="7"/>
      <c r="R6" s="7"/>
      <c r="S6" s="7"/>
      <c r="T6" s="7"/>
      <c r="U6" s="17"/>
    </row>
    <row r="7" spans="1:21">
      <c r="A7" t="s">
        <v>1</v>
      </c>
      <c r="B7" s="10">
        <v>602</v>
      </c>
      <c r="C7" s="7">
        <v>0</v>
      </c>
      <c r="D7" s="7">
        <v>0</v>
      </c>
      <c r="E7" s="7">
        <v>0</v>
      </c>
      <c r="F7" s="17">
        <f t="shared" si="0"/>
        <v>602</v>
      </c>
      <c r="H7" s="22"/>
      <c r="I7" s="24"/>
      <c r="K7" s="10"/>
      <c r="L7" s="7"/>
      <c r="M7" s="7"/>
      <c r="N7" s="7"/>
      <c r="O7" s="7"/>
      <c r="P7" s="7"/>
      <c r="Q7" s="7"/>
      <c r="R7" s="7"/>
      <c r="S7" s="7"/>
      <c r="T7" s="7"/>
      <c r="U7" s="17"/>
    </row>
    <row r="8" spans="1:21">
      <c r="A8" t="s">
        <v>2</v>
      </c>
      <c r="B8" s="10">
        <v>82132.937228371724</v>
      </c>
      <c r="C8" s="7">
        <v>49152.244721001567</v>
      </c>
      <c r="D8" s="7">
        <v>0</v>
      </c>
      <c r="E8" s="7">
        <v>0</v>
      </c>
      <c r="F8" s="17">
        <f t="shared" si="0"/>
        <v>131285.18194937328</v>
      </c>
      <c r="H8" s="4" t="s">
        <v>64</v>
      </c>
      <c r="I8" s="13"/>
      <c r="K8" s="10"/>
      <c r="L8" s="7"/>
      <c r="M8" s="7"/>
      <c r="N8" s="7"/>
      <c r="O8" s="7"/>
      <c r="P8" s="7"/>
      <c r="Q8" s="7"/>
      <c r="R8" s="7"/>
      <c r="S8" s="7"/>
      <c r="T8" s="7"/>
      <c r="U8" s="17"/>
    </row>
    <row r="9" spans="1:21">
      <c r="A9" t="s">
        <v>3</v>
      </c>
      <c r="B9" s="10">
        <v>13504.129115282714</v>
      </c>
      <c r="C9" s="7">
        <v>12657.275435093039</v>
      </c>
      <c r="D9" s="7">
        <v>0</v>
      </c>
      <c r="E9" s="7">
        <v>0</v>
      </c>
      <c r="F9" s="17">
        <f t="shared" si="0"/>
        <v>26161.404550375752</v>
      </c>
      <c r="H9" s="4"/>
      <c r="I9" s="13"/>
      <c r="K9" s="10">
        <v>70158</v>
      </c>
      <c r="L9" s="7">
        <v>0</v>
      </c>
      <c r="M9" s="7"/>
      <c r="N9" s="7">
        <v>0</v>
      </c>
      <c r="O9" s="7">
        <v>0</v>
      </c>
      <c r="P9" s="7"/>
      <c r="Q9" s="7">
        <v>0</v>
      </c>
      <c r="R9" s="7">
        <v>0</v>
      </c>
      <c r="S9" s="7"/>
      <c r="T9" s="7">
        <v>0</v>
      </c>
      <c r="U9" s="17">
        <v>0</v>
      </c>
    </row>
    <row r="10" spans="1:21">
      <c r="A10" t="s">
        <v>4</v>
      </c>
      <c r="B10" s="10">
        <v>162947.79929021234</v>
      </c>
      <c r="C10" s="7">
        <v>23487.37355162538</v>
      </c>
      <c r="D10" s="7">
        <v>0</v>
      </c>
      <c r="E10" s="7">
        <v>0</v>
      </c>
      <c r="F10" s="17">
        <f t="shared" si="0"/>
        <v>186435.17284183772</v>
      </c>
      <c r="H10" s="4" t="s">
        <v>65</v>
      </c>
      <c r="I10" s="14">
        <v>12183752</v>
      </c>
      <c r="K10" s="10">
        <v>1393120</v>
      </c>
      <c r="L10" s="7">
        <v>300000</v>
      </c>
      <c r="M10" s="7"/>
      <c r="N10" s="7">
        <v>206880</v>
      </c>
      <c r="O10" s="7">
        <v>0</v>
      </c>
      <c r="P10" s="7"/>
      <c r="Q10" s="7">
        <v>0</v>
      </c>
      <c r="R10" s="7">
        <v>0</v>
      </c>
      <c r="S10" s="7"/>
      <c r="T10" s="7">
        <v>0</v>
      </c>
      <c r="U10" s="17">
        <v>0</v>
      </c>
    </row>
    <row r="11" spans="1:21">
      <c r="A11" t="s">
        <v>5</v>
      </c>
      <c r="B11" s="10">
        <v>9624.0392643433843</v>
      </c>
      <c r="C11" s="7">
        <v>4490.0299607768866</v>
      </c>
      <c r="D11" s="7">
        <v>0</v>
      </c>
      <c r="E11" s="7">
        <v>0</v>
      </c>
      <c r="F11" s="17">
        <f t="shared" si="0"/>
        <v>14114.069225120271</v>
      </c>
      <c r="H11" s="4"/>
      <c r="I11" s="14"/>
      <c r="K11" s="10"/>
      <c r="L11" s="7"/>
      <c r="M11" s="7"/>
      <c r="N11" s="7"/>
      <c r="O11" s="7"/>
      <c r="P11" s="7"/>
      <c r="Q11" s="7"/>
      <c r="R11" s="7"/>
      <c r="S11" s="7"/>
      <c r="T11" s="7"/>
      <c r="U11" s="17"/>
    </row>
    <row r="12" spans="1:21">
      <c r="A12" t="s">
        <v>6</v>
      </c>
      <c r="B12" s="10">
        <v>1386.5358512130831</v>
      </c>
      <c r="C12" s="7">
        <v>6394.6347808350638</v>
      </c>
      <c r="D12" s="7">
        <v>0</v>
      </c>
      <c r="E12" s="7">
        <v>0</v>
      </c>
      <c r="F12" s="17">
        <f t="shared" si="0"/>
        <v>7781.1706320481471</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25081</v>
      </c>
      <c r="K13" s="10"/>
      <c r="L13" s="7"/>
      <c r="M13" s="7"/>
      <c r="N13" s="7"/>
      <c r="O13" s="7"/>
      <c r="P13" s="7"/>
      <c r="Q13" s="7"/>
      <c r="R13" s="7"/>
      <c r="S13" s="7"/>
      <c r="T13" s="7"/>
      <c r="U13" s="17"/>
    </row>
    <row r="14" spans="1:21">
      <c r="A14" t="s">
        <v>8</v>
      </c>
      <c r="B14" s="10">
        <v>-297.84545533941184</v>
      </c>
      <c r="C14" s="7">
        <v>0</v>
      </c>
      <c r="D14" s="7">
        <v>0</v>
      </c>
      <c r="E14" s="7">
        <v>0</v>
      </c>
      <c r="F14" s="17">
        <f t="shared" si="0"/>
        <v>-297.84545533941184</v>
      </c>
      <c r="H14" s="4" t="s">
        <v>68</v>
      </c>
      <c r="I14" s="14">
        <v>318423.00000000006</v>
      </c>
      <c r="K14" s="10"/>
      <c r="L14" s="7"/>
      <c r="M14" s="7"/>
      <c r="N14" s="7"/>
      <c r="O14" s="7"/>
      <c r="P14" s="7"/>
      <c r="Q14" s="7"/>
      <c r="R14" s="7"/>
      <c r="S14" s="7"/>
      <c r="T14" s="7"/>
      <c r="U14" s="17"/>
    </row>
    <row r="15" spans="1:21">
      <c r="A15" t="s">
        <v>9</v>
      </c>
      <c r="B15" s="10">
        <v>30371.338294993962</v>
      </c>
      <c r="C15" s="7">
        <v>40624.323770811185</v>
      </c>
      <c r="D15" s="7">
        <v>0</v>
      </c>
      <c r="E15" s="7">
        <v>0</v>
      </c>
      <c r="F15" s="17">
        <f t="shared" si="0"/>
        <v>70995.66206580514</v>
      </c>
      <c r="H15" s="4" t="s">
        <v>69</v>
      </c>
      <c r="I15" s="14">
        <v>370088.71792982647</v>
      </c>
      <c r="K15" s="10"/>
      <c r="L15" s="7"/>
      <c r="M15" s="7"/>
      <c r="N15" s="7"/>
      <c r="O15" s="7"/>
      <c r="P15" s="7"/>
      <c r="Q15" s="7"/>
      <c r="R15" s="7"/>
      <c r="S15" s="7"/>
      <c r="T15" s="7"/>
      <c r="U15" s="17"/>
    </row>
    <row r="16" spans="1:21">
      <c r="A16" t="s">
        <v>10</v>
      </c>
      <c r="B16" s="10">
        <v>11054.474411869531</v>
      </c>
      <c r="C16" s="7">
        <v>931.10632136515233</v>
      </c>
      <c r="D16" s="7">
        <v>0</v>
      </c>
      <c r="E16" s="7">
        <v>0</v>
      </c>
      <c r="F16" s="17">
        <f t="shared" si="0"/>
        <v>11985.580733234683</v>
      </c>
      <c r="H16" s="4" t="s">
        <v>70</v>
      </c>
      <c r="I16" s="14">
        <v>0</v>
      </c>
      <c r="K16" s="10"/>
      <c r="L16" s="7"/>
      <c r="M16" s="7"/>
      <c r="N16" s="7"/>
      <c r="O16" s="7"/>
      <c r="P16" s="7"/>
      <c r="Q16" s="7"/>
      <c r="R16" s="7"/>
      <c r="S16" s="7"/>
      <c r="T16" s="7"/>
      <c r="U16" s="17"/>
    </row>
    <row r="17" spans="1:21">
      <c r="A17" t="s">
        <v>11</v>
      </c>
      <c r="B17" s="10">
        <v>1879.9641805637293</v>
      </c>
      <c r="C17" s="7">
        <v>0</v>
      </c>
      <c r="D17" s="7">
        <v>0</v>
      </c>
      <c r="E17" s="7">
        <v>0</v>
      </c>
      <c r="F17" s="17">
        <f t="shared" si="0"/>
        <v>1879.9641805637293</v>
      </c>
      <c r="H17" s="4"/>
      <c r="I17" s="14"/>
      <c r="K17" s="10"/>
      <c r="L17" s="7"/>
      <c r="M17" s="7"/>
      <c r="N17" s="7"/>
      <c r="O17" s="7"/>
      <c r="P17" s="7"/>
      <c r="Q17" s="7"/>
      <c r="R17" s="7"/>
      <c r="S17" s="7"/>
      <c r="T17" s="7"/>
      <c r="U17" s="17"/>
    </row>
    <row r="18" spans="1:21">
      <c r="A18" t="s">
        <v>12</v>
      </c>
      <c r="B18" s="10">
        <v>5356.9867782415768</v>
      </c>
      <c r="C18" s="7">
        <v>5522.821034158902</v>
      </c>
      <c r="D18" s="7">
        <v>0</v>
      </c>
      <c r="E18" s="7">
        <v>0</v>
      </c>
      <c r="F18" s="17">
        <f t="shared" si="0"/>
        <v>10879.807812400479</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156065.00576531235</v>
      </c>
      <c r="C20" s="7">
        <v>442377.74298111349</v>
      </c>
      <c r="D20" s="7">
        <v>0</v>
      </c>
      <c r="E20" s="7">
        <v>0</v>
      </c>
      <c r="F20" s="17">
        <f t="shared" si="0"/>
        <v>598442.74874642584</v>
      </c>
      <c r="H20" s="4" t="s">
        <v>73</v>
      </c>
      <c r="I20" s="14">
        <v>-406387.00000000012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2937.6111700429101</v>
      </c>
      <c r="C22" s="7">
        <v>1690.7584289802526</v>
      </c>
      <c r="D22" s="7">
        <v>0</v>
      </c>
      <c r="E22" s="7">
        <v>0</v>
      </c>
      <c r="F22" s="17">
        <f t="shared" si="0"/>
        <v>4628.3695990231627</v>
      </c>
      <c r="H22" s="4" t="s">
        <v>75</v>
      </c>
      <c r="I22" s="14">
        <v>1953369</v>
      </c>
      <c r="K22" s="10"/>
      <c r="L22" s="7"/>
      <c r="M22" s="7"/>
      <c r="N22" s="7"/>
      <c r="O22" s="7"/>
      <c r="P22" s="7"/>
      <c r="Q22" s="7"/>
      <c r="R22" s="7"/>
      <c r="S22" s="7"/>
      <c r="T22" s="7"/>
      <c r="U22" s="17"/>
    </row>
    <row r="23" spans="1:21">
      <c r="A23" t="s">
        <v>17</v>
      </c>
      <c r="B23" s="10">
        <v>-892.81693987337439</v>
      </c>
      <c r="C23" s="7">
        <v>-415.73918574256345</v>
      </c>
      <c r="D23" s="7">
        <v>0</v>
      </c>
      <c r="E23" s="7">
        <v>0</v>
      </c>
      <c r="F23" s="17">
        <f t="shared" si="0"/>
        <v>-1308.5561256159378</v>
      </c>
      <c r="H23" s="4" t="s">
        <v>76</v>
      </c>
      <c r="I23" s="14"/>
      <c r="K23" s="10"/>
      <c r="L23" s="7"/>
      <c r="M23" s="7"/>
      <c r="N23" s="7"/>
      <c r="O23" s="7"/>
      <c r="P23" s="7"/>
      <c r="Q23" s="7"/>
      <c r="R23" s="7"/>
      <c r="S23" s="7"/>
      <c r="T23" s="7"/>
      <c r="U23" s="17"/>
    </row>
    <row r="24" spans="1:21">
      <c r="A24" t="s">
        <v>18</v>
      </c>
      <c r="B24" s="10">
        <v>2651</v>
      </c>
      <c r="C24" s="7">
        <v>0</v>
      </c>
      <c r="D24" s="7">
        <v>0</v>
      </c>
      <c r="E24" s="7">
        <v>0</v>
      </c>
      <c r="F24" s="17">
        <f t="shared" si="0"/>
        <v>2651</v>
      </c>
      <c r="H24" s="4" t="s">
        <v>77</v>
      </c>
      <c r="I24" s="14">
        <v>9499998.0000000019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-15.722867105242585</v>
      </c>
      <c r="C26" s="7">
        <v>-16.358917969884715</v>
      </c>
      <c r="D26" s="7">
        <v>0</v>
      </c>
      <c r="E26" s="7">
        <v>0</v>
      </c>
      <c r="F26" s="17">
        <f t="shared" si="0"/>
        <v>-32.0817850751273</v>
      </c>
      <c r="H26" s="4" t="s">
        <v>78</v>
      </c>
      <c r="I26" s="14">
        <f>SUM(I10:I16)-SUM(I19:I24)</f>
        <v>1850364.7179298252</v>
      </c>
      <c r="K26" s="10">
        <v>0</v>
      </c>
      <c r="L26" s="7">
        <v>0</v>
      </c>
      <c r="M26" s="7"/>
      <c r="N26" s="7">
        <v>0</v>
      </c>
      <c r="O26" s="7">
        <v>0</v>
      </c>
      <c r="P26" s="7"/>
      <c r="Q26" s="7">
        <v>0</v>
      </c>
      <c r="R26" s="7">
        <v>0</v>
      </c>
      <c r="S26" s="7"/>
      <c r="T26" s="7">
        <v>0</v>
      </c>
      <c r="U26" s="17">
        <v>0</v>
      </c>
    </row>
    <row r="27" spans="1:21">
      <c r="A27" t="s">
        <v>21</v>
      </c>
      <c r="B27" s="10">
        <v>0</v>
      </c>
      <c r="C27" s="7">
        <v>0</v>
      </c>
      <c r="D27" s="7">
        <v>0</v>
      </c>
      <c r="E27" s="7">
        <v>0</v>
      </c>
      <c r="F27" s="17">
        <f t="shared" si="0"/>
        <v>0</v>
      </c>
      <c r="H27" s="4" t="s">
        <v>79</v>
      </c>
      <c r="I27" s="14">
        <f>+F60</f>
        <v>1850364.7179298259</v>
      </c>
      <c r="K27" s="10"/>
      <c r="L27" s="7"/>
      <c r="M27" s="7"/>
      <c r="N27" s="7"/>
      <c r="O27" s="7"/>
      <c r="P27" s="7"/>
      <c r="Q27" s="7"/>
      <c r="R27" s="7"/>
      <c r="S27" s="7"/>
      <c r="T27" s="7"/>
      <c r="U27" s="17"/>
    </row>
    <row r="28" spans="1:21">
      <c r="A28" t="s">
        <v>22</v>
      </c>
      <c r="B28" s="10">
        <v>118</v>
      </c>
      <c r="C28" s="7">
        <v>0</v>
      </c>
      <c r="D28" s="7">
        <v>0</v>
      </c>
      <c r="E28" s="7">
        <v>0</v>
      </c>
      <c r="F28" s="17">
        <f t="shared" si="0"/>
        <v>118</v>
      </c>
      <c r="H28" s="23"/>
      <c r="I28" s="25"/>
      <c r="K28" s="10"/>
      <c r="L28" s="7"/>
      <c r="M28" s="7"/>
      <c r="N28" s="7"/>
      <c r="O28" s="7"/>
      <c r="P28" s="7"/>
      <c r="Q28" s="7"/>
      <c r="R28" s="7"/>
      <c r="S28" s="7"/>
      <c r="T28" s="7"/>
      <c r="U28" s="17"/>
    </row>
    <row r="29" spans="1:21">
      <c r="A29" t="s">
        <v>23</v>
      </c>
      <c r="B29" s="10">
        <v>1751.6634074827334</v>
      </c>
      <c r="C29" s="7">
        <v>6876.9828810062354</v>
      </c>
      <c r="D29" s="7">
        <v>0</v>
      </c>
      <c r="E29" s="7">
        <v>0</v>
      </c>
      <c r="F29" s="17">
        <f t="shared" si="0"/>
        <v>8628.6462884889697</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135950.59854815691</v>
      </c>
      <c r="C31" s="7">
        <v>29410.637565895333</v>
      </c>
      <c r="D31" s="7">
        <v>0</v>
      </c>
      <c r="E31" s="7">
        <v>0</v>
      </c>
      <c r="F31" s="17">
        <f t="shared" si="0"/>
        <v>165361.23611405224</v>
      </c>
      <c r="K31" s="10"/>
      <c r="L31" s="7"/>
      <c r="M31" s="7"/>
      <c r="N31" s="7"/>
      <c r="O31" s="7"/>
      <c r="P31" s="7"/>
      <c r="Q31" s="7"/>
      <c r="R31" s="7"/>
      <c r="S31" s="7"/>
      <c r="T31" s="7"/>
      <c r="U31" s="17"/>
    </row>
    <row r="32" spans="1:21">
      <c r="A32" t="s">
        <v>26</v>
      </c>
      <c r="B32" s="10">
        <v>710</v>
      </c>
      <c r="C32" s="7">
        <v>0</v>
      </c>
      <c r="D32" s="7">
        <v>0</v>
      </c>
      <c r="E32" s="7">
        <v>0</v>
      </c>
      <c r="F32" s="17">
        <f t="shared" si="0"/>
        <v>710</v>
      </c>
      <c r="K32" s="10"/>
      <c r="L32" s="7"/>
      <c r="M32" s="7"/>
      <c r="N32" s="7"/>
      <c r="O32" s="7"/>
      <c r="P32" s="7"/>
      <c r="Q32" s="7"/>
      <c r="R32" s="7"/>
      <c r="S32" s="7"/>
      <c r="T32" s="7"/>
      <c r="U32" s="17"/>
    </row>
    <row r="33" spans="1:21">
      <c r="A33" t="s">
        <v>27</v>
      </c>
      <c r="B33" s="10">
        <v>568.09677929875579</v>
      </c>
      <c r="C33" s="7">
        <v>0</v>
      </c>
      <c r="D33" s="7">
        <v>0</v>
      </c>
      <c r="E33" s="7">
        <v>0</v>
      </c>
      <c r="F33" s="17">
        <f t="shared" si="0"/>
        <v>568.09677929875579</v>
      </c>
      <c r="K33" s="10"/>
      <c r="L33" s="7"/>
      <c r="M33" s="7"/>
      <c r="N33" s="7"/>
      <c r="O33" s="7"/>
      <c r="P33" s="7"/>
      <c r="Q33" s="7"/>
      <c r="R33" s="7"/>
      <c r="S33" s="7"/>
      <c r="T33" s="7"/>
      <c r="U33" s="17"/>
    </row>
    <row r="34" spans="1:21">
      <c r="A34" t="s">
        <v>28</v>
      </c>
      <c r="B34" s="10">
        <v>1793.8904270584594</v>
      </c>
      <c r="C34" s="7">
        <v>122.89314289264127</v>
      </c>
      <c r="D34" s="7">
        <v>0</v>
      </c>
      <c r="E34" s="7">
        <v>0</v>
      </c>
      <c r="F34" s="17">
        <f t="shared" si="0"/>
        <v>1916.7835699511006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14780.953361464559</v>
      </c>
      <c r="C37" s="7">
        <v>0</v>
      </c>
      <c r="D37" s="7">
        <v>0</v>
      </c>
      <c r="E37" s="7">
        <v>0</v>
      </c>
      <c r="F37" s="17">
        <f t="shared" si="0"/>
        <v>14780.953361464559</v>
      </c>
      <c r="K37" s="10">
        <v>99972</v>
      </c>
      <c r="L37" s="7">
        <v>0</v>
      </c>
      <c r="M37" s="7"/>
      <c r="N37" s="7">
        <v>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938.70326617152546</v>
      </c>
      <c r="C39" s="7">
        <v>6245.0672708035563</v>
      </c>
      <c r="D39" s="7">
        <v>0</v>
      </c>
      <c r="E39" s="7">
        <v>0</v>
      </c>
      <c r="F39" s="17">
        <f t="shared" si="1"/>
        <v>7183.770536975082</v>
      </c>
      <c r="K39" s="10"/>
      <c r="L39" s="7"/>
      <c r="M39" s="7"/>
      <c r="N39" s="7"/>
      <c r="O39" s="7"/>
      <c r="P39" s="7"/>
      <c r="Q39" s="7"/>
      <c r="R39" s="7"/>
      <c r="S39" s="7"/>
      <c r="T39" s="7"/>
      <c r="U39" s="17"/>
    </row>
    <row r="40" spans="1:21">
      <c r="A40" t="s">
        <v>34</v>
      </c>
      <c r="B40" s="10">
        <v>818</v>
      </c>
      <c r="C40" s="7">
        <v>0</v>
      </c>
      <c r="D40" s="7">
        <v>0</v>
      </c>
      <c r="E40" s="7">
        <v>0</v>
      </c>
      <c r="F40" s="17">
        <f t="shared" si="1"/>
        <v>818</v>
      </c>
      <c r="K40" s="10"/>
      <c r="L40" s="7"/>
      <c r="M40" s="7"/>
      <c r="N40" s="7"/>
      <c r="O40" s="7"/>
      <c r="P40" s="7"/>
      <c r="Q40" s="7"/>
      <c r="R40" s="7"/>
      <c r="S40" s="7"/>
      <c r="T40" s="7"/>
      <c r="U40" s="17"/>
    </row>
    <row r="41" spans="1:21">
      <c r="A41" t="s">
        <v>35</v>
      </c>
      <c r="B41" s="10">
        <v>1907.4226536839033</v>
      </c>
      <c r="C41" s="7">
        <v>2134.6298685943621</v>
      </c>
      <c r="D41" s="7">
        <v>0</v>
      </c>
      <c r="E41" s="7">
        <v>0</v>
      </c>
      <c r="F41" s="17">
        <f t="shared" si="1"/>
        <v>4042.0525222782653</v>
      </c>
      <c r="K41" s="10"/>
      <c r="L41" s="7"/>
      <c r="M41" s="7"/>
      <c r="N41" s="7"/>
      <c r="O41" s="7"/>
      <c r="P41" s="7"/>
      <c r="Q41" s="7"/>
      <c r="R41" s="7"/>
      <c r="S41" s="7"/>
      <c r="T41" s="7"/>
      <c r="U41" s="17"/>
    </row>
    <row r="42" spans="1:21">
      <c r="A42" t="s">
        <v>36</v>
      </c>
      <c r="B42" s="10">
        <v>12254.652592000271</v>
      </c>
      <c r="C42" s="7">
        <v>4558.4120652771799</v>
      </c>
      <c r="D42" s="7">
        <v>0</v>
      </c>
      <c r="E42" s="7">
        <v>0</v>
      </c>
      <c r="F42" s="17">
        <f t="shared" si="1"/>
        <v>16813.064657277449</v>
      </c>
      <c r="K42" s="10">
        <v>99000</v>
      </c>
      <c r="L42" s="7">
        <v>0</v>
      </c>
      <c r="M42" s="7"/>
      <c r="N42" s="7">
        <v>1000</v>
      </c>
      <c r="O42" s="7">
        <v>0</v>
      </c>
      <c r="P42" s="7"/>
      <c r="Q42" s="7">
        <v>0</v>
      </c>
      <c r="R42" s="7">
        <v>0</v>
      </c>
      <c r="S42" s="7"/>
      <c r="T42" s="7">
        <v>0</v>
      </c>
      <c r="U42" s="17">
        <v>0</v>
      </c>
    </row>
    <row r="43" spans="1:21">
      <c r="A43" t="s">
        <v>37</v>
      </c>
      <c r="B43" s="10">
        <v>1405.4282476467597</v>
      </c>
      <c r="C43" s="7">
        <v>153.89205114777906</v>
      </c>
      <c r="D43" s="7">
        <v>0</v>
      </c>
      <c r="E43" s="7">
        <v>0</v>
      </c>
      <c r="F43" s="17">
        <f t="shared" si="1"/>
        <v>1559.3202987945388</v>
      </c>
      <c r="K43" s="10"/>
      <c r="L43" s="7"/>
      <c r="M43" s="7"/>
      <c r="N43" s="7"/>
      <c r="O43" s="7"/>
      <c r="P43" s="7"/>
      <c r="Q43" s="7"/>
      <c r="R43" s="7"/>
      <c r="S43" s="7"/>
      <c r="T43" s="7"/>
      <c r="U43" s="17"/>
    </row>
    <row r="44" spans="1:21">
      <c r="A44" t="s">
        <v>38</v>
      </c>
      <c r="B44" s="10">
        <v>153.06793911340782</v>
      </c>
      <c r="C44" s="7">
        <v>0</v>
      </c>
      <c r="D44" s="7">
        <v>0</v>
      </c>
      <c r="E44" s="7">
        <v>0</v>
      </c>
      <c r="F44" s="17">
        <f t="shared" si="1"/>
        <v>153.06793911340782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2524.7362846080387</v>
      </c>
      <c r="C47" s="7">
        <v>12.080077916784882</v>
      </c>
      <c r="D47" s="7">
        <v>0</v>
      </c>
      <c r="E47" s="7">
        <v>0</v>
      </c>
      <c r="F47" s="17">
        <f t="shared" si="1"/>
        <v>2536.8163625248235</v>
      </c>
      <c r="K47" s="10"/>
      <c r="L47" s="7"/>
      <c r="M47" s="7"/>
      <c r="N47" s="7"/>
      <c r="O47" s="7"/>
      <c r="P47" s="7"/>
      <c r="Q47" s="7"/>
      <c r="R47" s="7"/>
      <c r="S47" s="7"/>
      <c r="T47" s="7"/>
      <c r="U47" s="17"/>
    </row>
    <row r="48" spans="1:21">
      <c r="A48" t="s">
        <v>42</v>
      </c>
      <c r="B48" s="10">
        <v>1025.8003026862548</v>
      </c>
      <c r="C48" s="7">
        <v>0</v>
      </c>
      <c r="D48" s="7">
        <v>0</v>
      </c>
      <c r="E48" s="7">
        <v>0</v>
      </c>
      <c r="F48" s="17">
        <f t="shared" si="1"/>
        <v>1025.8003026862548</v>
      </c>
      <c r="K48" s="10"/>
      <c r="L48" s="7"/>
      <c r="M48" s="7"/>
      <c r="N48" s="7"/>
      <c r="O48" s="7"/>
      <c r="P48" s="7"/>
      <c r="Q48" s="7"/>
      <c r="R48" s="7"/>
      <c r="S48" s="7"/>
      <c r="T48" s="7"/>
      <c r="U48" s="17"/>
    </row>
    <row r="49" spans="1:21">
      <c r="A49" t="s">
        <v>43</v>
      </c>
      <c r="B49" s="10">
        <v>299.48744663876369</v>
      </c>
      <c r="C49" s="7">
        <v>1783.9919371101823</v>
      </c>
      <c r="D49" s="7">
        <v>0</v>
      </c>
      <c r="E49" s="7">
        <v>0</v>
      </c>
      <c r="F49" s="17">
        <f t="shared" si="1"/>
        <v>2083.479383748946</v>
      </c>
      <c r="K49" s="10"/>
      <c r="L49" s="7"/>
      <c r="M49" s="7"/>
      <c r="N49" s="7"/>
      <c r="O49" s="7"/>
      <c r="P49" s="7"/>
      <c r="Q49" s="7"/>
      <c r="R49" s="7"/>
      <c r="S49" s="7"/>
      <c r="T49" s="7"/>
      <c r="U49" s="17"/>
    </row>
    <row r="50" spans="1:21">
      <c r="A50" t="s">
        <v>44</v>
      </c>
      <c r="B50" s="10">
        <v>447897.73110272875</v>
      </c>
      <c r="C50" s="7">
        <v>26812.499895446526</v>
      </c>
      <c r="D50" s="7">
        <v>0</v>
      </c>
      <c r="E50" s="7">
        <v>0</v>
      </c>
      <c r="F50" s="17">
        <f t="shared" si="1"/>
        <v>474710.23099817528</v>
      </c>
      <c r="K50" s="10">
        <v>2898033</v>
      </c>
      <c r="L50" s="7">
        <v>2875000</v>
      </c>
      <c r="M50" s="7"/>
      <c r="N50" s="7">
        <v>0</v>
      </c>
      <c r="O50" s="7">
        <v>0</v>
      </c>
      <c r="P50" s="7"/>
      <c r="Q50" s="7">
        <v>152528</v>
      </c>
      <c r="R50" s="7">
        <v>125000</v>
      </c>
      <c r="S50" s="7"/>
      <c r="T50" s="7">
        <v>0</v>
      </c>
      <c r="U50" s="17">
        <v>0</v>
      </c>
    </row>
    <row r="51" spans="1:21">
      <c r="A51" t="s">
        <v>45</v>
      </c>
      <c r="B51" s="10">
        <v>845.51570692816404</v>
      </c>
      <c r="C51" s="7">
        <v>1407.204884470696</v>
      </c>
      <c r="D51" s="7">
        <v>0</v>
      </c>
      <c r="E51" s="7">
        <v>0</v>
      </c>
      <c r="F51" s="17">
        <f t="shared" si="1"/>
        <v>2252.7205913988601</v>
      </c>
      <c r="K51" s="10"/>
      <c r="L51" s="7"/>
      <c r="M51" s="7"/>
      <c r="N51" s="7"/>
      <c r="O51" s="7"/>
      <c r="P51" s="7"/>
      <c r="Q51" s="7"/>
      <c r="R51" s="7"/>
      <c r="S51" s="7"/>
      <c r="T51" s="7"/>
      <c r="U51" s="17"/>
    </row>
    <row r="52" spans="1:21">
      <c r="A52" t="s">
        <v>46</v>
      </c>
      <c r="B52" s="10">
        <v>6861.8580955970765</v>
      </c>
      <c r="C52" s="7">
        <v>0</v>
      </c>
      <c r="D52" s="7">
        <v>0</v>
      </c>
      <c r="E52" s="7">
        <v>0</v>
      </c>
      <c r="F52" s="17">
        <f t="shared" si="1"/>
        <v>6861.8580955970765</v>
      </c>
      <c r="K52" s="10"/>
      <c r="L52" s="7"/>
      <c r="M52" s="7"/>
      <c r="N52" s="7"/>
      <c r="O52" s="7"/>
      <c r="P52" s="7"/>
      <c r="Q52" s="7"/>
      <c r="R52" s="7"/>
      <c r="S52" s="7"/>
      <c r="T52" s="7"/>
      <c r="U52" s="17"/>
    </row>
    <row r="53" spans="1:21">
      <c r="A53" t="s">
        <v>47</v>
      </c>
      <c r="B53" s="10">
        <v>2303.6299524308047</v>
      </c>
      <c r="C53" s="7">
        <v>56712.216171116859</v>
      </c>
      <c r="D53" s="7">
        <v>0</v>
      </c>
      <c r="E53" s="7">
        <v>0</v>
      </c>
      <c r="F53" s="17">
        <f t="shared" si="1"/>
        <v>59015.846123547664</v>
      </c>
      <c r="K53" s="10">
        <v>2800</v>
      </c>
      <c r="L53" s="7">
        <v>0</v>
      </c>
      <c r="M53" s="7"/>
      <c r="N53" s="7">
        <v>70000</v>
      </c>
      <c r="O53" s="7">
        <v>0</v>
      </c>
      <c r="P53" s="7"/>
      <c r="Q53" s="7">
        <v>0</v>
      </c>
      <c r="R53" s="7">
        <v>0</v>
      </c>
      <c r="S53" s="7"/>
      <c r="T53" s="7">
        <v>0</v>
      </c>
      <c r="U53" s="17">
        <v>0</v>
      </c>
    </row>
    <row r="54" spans="1:21">
      <c r="A54" t="s">
        <v>48</v>
      </c>
      <c r="B54" s="10">
        <v>7267.6705883804934</v>
      </c>
      <c r="C54" s="7">
        <v>0</v>
      </c>
      <c r="D54" s="7">
        <v>0</v>
      </c>
      <c r="E54" s="7">
        <v>0</v>
      </c>
      <c r="F54" s="17">
        <f t="shared" si="1"/>
        <v>7267.6705883804934</v>
      </c>
      <c r="K54" s="10">
        <v>39000</v>
      </c>
      <c r="L54" s="7">
        <v>0</v>
      </c>
      <c r="M54" s="7"/>
      <c r="N54" s="7">
        <v>0</v>
      </c>
      <c r="O54" s="7">
        <v>0</v>
      </c>
      <c r="P54" s="7"/>
      <c r="Q54" s="7">
        <v>0</v>
      </c>
      <c r="R54" s="7">
        <v>0</v>
      </c>
      <c r="S54" s="7"/>
      <c r="T54" s="7">
        <v>0</v>
      </c>
      <c r="U54" s="17">
        <v>0</v>
      </c>
    </row>
    <row r="55" spans="1:21">
      <c r="A55" t="s">
        <v>49</v>
      </c>
      <c r="B55" s="10">
        <v>713.27696964403924</v>
      </c>
      <c r="C55" s="7">
        <v>0</v>
      </c>
      <c r="D55" s="7">
        <v>0</v>
      </c>
      <c r="E55" s="7">
        <v>0</v>
      </c>
      <c r="F55" s="17">
        <f t="shared" si="1"/>
        <v>713.27696964403924</v>
      </c>
      <c r="K55" s="10"/>
      <c r="L55" s="7"/>
      <c r="M55" s="7"/>
      <c r="N55" s="7"/>
      <c r="O55" s="7"/>
      <c r="P55" s="7"/>
      <c r="Q55" s="7"/>
      <c r="R55" s="7"/>
      <c r="S55" s="7"/>
      <c r="T55" s="7"/>
      <c r="U55" s="17"/>
    </row>
    <row r="56" spans="1:21">
      <c r="A56" t="s">
        <v>50</v>
      </c>
      <c r="B56" s="10">
        <v>3600.9289214839187</v>
      </c>
      <c r="C56" s="7">
        <v>0</v>
      </c>
      <c r="D56" s="7">
        <v>0</v>
      </c>
      <c r="E56" s="7">
        <v>0</v>
      </c>
      <c r="F56" s="17">
        <f t="shared" si="1"/>
        <v>3600.9289214839187</v>
      </c>
      <c r="K56" s="10"/>
      <c r="L56" s="7"/>
      <c r="M56" s="7"/>
      <c r="N56" s="7"/>
      <c r="O56" s="7"/>
      <c r="P56" s="7"/>
      <c r="Q56" s="7"/>
      <c r="R56" s="7"/>
      <c r="S56" s="7"/>
      <c r="T56" s="7"/>
      <c r="U56" s="17"/>
    </row>
    <row r="57" spans="1:21">
      <c r="A57" t="s">
        <v>51</v>
      </c>
      <c r="B57" s="10">
        <v>0</v>
      </c>
      <c r="C57" s="7">
        <v>12.910787857615684</v>
      </c>
      <c r="D57" s="7">
        <v>0</v>
      </c>
      <c r="E57" s="7">
        <v>0</v>
      </c>
      <c r="F57" s="17">
        <f t="shared" si="1"/>
        <v>12.910787857615684</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1127225.0864482422</v>
      </c>
      <c r="C60" s="7">
        <f>SUM(C6:C58)</f>
        <v>723139.63148158416</v>
      </c>
      <c r="D60" s="7">
        <f>SUM(D6:D58)</f>
        <v>0</v>
      </c>
      <c r="E60" s="7">
        <f>SUM(E6:E58)</f>
        <v>0</v>
      </c>
      <c r="F60" s="17">
        <f>SUM(F6:F58)</f>
        <v>1850364.7179298259</v>
      </c>
      <c r="K60" s="10">
        <f>SUM(K6:K58)</f>
        <v>4602083</v>
      </c>
      <c r="L60" s="7">
        <f>SUM(L6:L58)</f>
        <v>3175000</v>
      </c>
      <c r="M60" s="7"/>
      <c r="N60" s="7">
        <f>SUM(N6:N58)</f>
        <v>277880</v>
      </c>
      <c r="O60" s="7">
        <f>SUM(O6:O58)</f>
        <v>0</v>
      </c>
      <c r="P60" s="7"/>
      <c r="Q60" s="7">
        <f>SUM(Q6:Q58)</f>
        <v>152528</v>
      </c>
      <c r="R60" s="7">
        <f>SUM(R6:R58)</f>
        <v>125000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Italic"International Financial Services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42995.794062429719</v>
      </c>
      <c r="C6" s="7">
        <v>80927.173412012795</v>
      </c>
      <c r="D6" s="7">
        <v>0</v>
      </c>
      <c r="E6" s="7">
        <v>0</v>
      </c>
      <c r="F6" s="17">
        <f t="shared" ref="F6:F37" si="0">SUM(B6:E6)</f>
        <v>123922.96747444251</v>
      </c>
      <c r="K6" s="10">
        <v>59000</v>
      </c>
      <c r="L6" s="7">
        <v>0</v>
      </c>
      <c r="M6" s="7"/>
      <c r="N6" s="7">
        <v>51893</v>
      </c>
      <c r="O6" s="7">
        <v>0</v>
      </c>
      <c r="P6" s="7"/>
      <c r="Q6" s="7">
        <v>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6695.7290292226808</v>
      </c>
      <c r="C8" s="7">
        <v>16809.45349251603</v>
      </c>
      <c r="D8" s="7">
        <v>0</v>
      </c>
      <c r="E8" s="7">
        <v>0</v>
      </c>
      <c r="F8" s="17">
        <f t="shared" si="0"/>
        <v>23505.182521738709</v>
      </c>
      <c r="H8" s="4" t="s">
        <v>64</v>
      </c>
      <c r="I8" s="13"/>
      <c r="K8" s="10">
        <v>3325</v>
      </c>
      <c r="L8" s="7">
        <v>0</v>
      </c>
      <c r="M8" s="7"/>
      <c r="N8" s="7">
        <v>5932</v>
      </c>
      <c r="O8" s="7">
        <v>0</v>
      </c>
      <c r="P8" s="7"/>
      <c r="Q8" s="7">
        <v>0</v>
      </c>
      <c r="R8" s="7">
        <v>0</v>
      </c>
      <c r="S8" s="7"/>
      <c r="T8" s="7">
        <v>0</v>
      </c>
      <c r="U8" s="17">
        <v>0</v>
      </c>
    </row>
    <row r="9" spans="1:21">
      <c r="A9" t="s">
        <v>3</v>
      </c>
      <c r="B9" s="10">
        <v>381.70065993354751</v>
      </c>
      <c r="C9" s="7">
        <v>19461.988188946892</v>
      </c>
      <c r="D9" s="7">
        <v>0</v>
      </c>
      <c r="E9" s="7">
        <v>0</v>
      </c>
      <c r="F9" s="17">
        <f t="shared" si="0"/>
        <v>19843.68884888044</v>
      </c>
      <c r="H9" s="4"/>
      <c r="I9" s="13"/>
      <c r="K9" s="10">
        <v>47114</v>
      </c>
      <c r="L9" s="7">
        <v>0</v>
      </c>
      <c r="M9" s="7"/>
      <c r="N9" s="7">
        <v>0</v>
      </c>
      <c r="O9" s="7">
        <v>0</v>
      </c>
      <c r="P9" s="7"/>
      <c r="Q9" s="7">
        <v>0</v>
      </c>
      <c r="R9" s="7">
        <v>0</v>
      </c>
      <c r="S9" s="7"/>
      <c r="T9" s="7">
        <v>0</v>
      </c>
      <c r="U9" s="17">
        <v>0</v>
      </c>
    </row>
    <row r="10" spans="1:21">
      <c r="A10" t="s">
        <v>4</v>
      </c>
      <c r="B10" s="10">
        <v>83412.865594585906</v>
      </c>
      <c r="C10" s="7">
        <v>38239.985235276763</v>
      </c>
      <c r="D10" s="7">
        <v>0</v>
      </c>
      <c r="E10" s="7">
        <v>0</v>
      </c>
      <c r="F10" s="17">
        <f t="shared" si="0"/>
        <v>121652.85082986267</v>
      </c>
      <c r="H10" s="4" t="s">
        <v>65</v>
      </c>
      <c r="I10" s="14">
        <v>67641599.769650862</v>
      </c>
      <c r="K10" s="10">
        <v>125483</v>
      </c>
      <c r="L10" s="7">
        <v>0</v>
      </c>
      <c r="M10" s="7"/>
      <c r="N10" s="7">
        <v>57507</v>
      </c>
      <c r="O10" s="7">
        <v>0</v>
      </c>
      <c r="P10" s="7"/>
      <c r="Q10" s="7">
        <v>0</v>
      </c>
      <c r="R10" s="7">
        <v>0</v>
      </c>
      <c r="S10" s="7"/>
      <c r="T10" s="7">
        <v>0</v>
      </c>
      <c r="U10" s="17">
        <v>0</v>
      </c>
    </row>
    <row r="11" spans="1:21">
      <c r="A11" t="s">
        <v>5</v>
      </c>
      <c r="B11" s="10">
        <v>15497.719778962026</v>
      </c>
      <c r="C11" s="7">
        <v>14192.652980137655</v>
      </c>
      <c r="D11" s="7">
        <v>0</v>
      </c>
      <c r="E11" s="7">
        <v>0</v>
      </c>
      <c r="F11" s="17">
        <f t="shared" si="0"/>
        <v>29690.372759099679</v>
      </c>
      <c r="H11" s="4"/>
      <c r="I11" s="14"/>
      <c r="K11" s="10">
        <v>25480</v>
      </c>
      <c r="L11" s="7">
        <v>0</v>
      </c>
      <c r="M11" s="7"/>
      <c r="N11" s="7">
        <v>23520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1741.0195112540393</v>
      </c>
      <c r="C13" s="7">
        <v>1420.2602515451679</v>
      </c>
      <c r="D13" s="7">
        <v>0</v>
      </c>
      <c r="E13" s="7">
        <v>0</v>
      </c>
      <c r="F13" s="17">
        <f t="shared" si="0"/>
        <v>3161.2797627992072</v>
      </c>
      <c r="H13" s="4" t="s">
        <v>67</v>
      </c>
      <c r="I13" s="14">
        <v>382611.05000000005</v>
      </c>
      <c r="K13" s="10">
        <v>750</v>
      </c>
      <c r="L13" s="7">
        <v>0</v>
      </c>
      <c r="M13" s="7"/>
      <c r="N13" s="7">
        <v>1750</v>
      </c>
      <c r="O13" s="7">
        <v>0</v>
      </c>
      <c r="P13" s="7"/>
      <c r="Q13" s="7">
        <v>0</v>
      </c>
      <c r="R13" s="7">
        <v>0</v>
      </c>
      <c r="S13" s="7"/>
      <c r="T13" s="7">
        <v>0</v>
      </c>
      <c r="U13" s="17">
        <v>0</v>
      </c>
    </row>
    <row r="14" spans="1:21">
      <c r="A14" t="s">
        <v>8</v>
      </c>
      <c r="B14" s="10">
        <v>0</v>
      </c>
      <c r="C14" s="7">
        <v>0</v>
      </c>
      <c r="D14" s="7">
        <v>0</v>
      </c>
      <c r="E14" s="7">
        <v>0</v>
      </c>
      <c r="F14" s="17">
        <f t="shared" si="0"/>
        <v>0</v>
      </c>
      <c r="H14" s="4" t="s">
        <v>68</v>
      </c>
      <c r="I14" s="14">
        <v>994264.99999999977</v>
      </c>
      <c r="K14" s="10"/>
      <c r="L14" s="7"/>
      <c r="M14" s="7"/>
      <c r="N14" s="7"/>
      <c r="O14" s="7"/>
      <c r="P14" s="7"/>
      <c r="Q14" s="7"/>
      <c r="R14" s="7"/>
      <c r="S14" s="7"/>
      <c r="T14" s="7"/>
      <c r="U14" s="17"/>
    </row>
    <row r="15" spans="1:21">
      <c r="A15" t="s">
        <v>9</v>
      </c>
      <c r="B15" s="10">
        <v>303899.25597820093</v>
      </c>
      <c r="C15" s="7">
        <v>439875.3092600556</v>
      </c>
      <c r="D15" s="7">
        <v>0</v>
      </c>
      <c r="E15" s="7">
        <v>0</v>
      </c>
      <c r="F15" s="17">
        <f t="shared" si="0"/>
        <v>743774.56523825647</v>
      </c>
      <c r="H15" s="4" t="s">
        <v>69</v>
      </c>
      <c r="I15" s="14">
        <v>708165.67999999993</v>
      </c>
      <c r="K15" s="10">
        <v>275000</v>
      </c>
      <c r="L15" s="7">
        <v>0</v>
      </c>
      <c r="M15" s="7"/>
      <c r="N15" s="7">
        <v>975000</v>
      </c>
      <c r="O15" s="7">
        <v>0</v>
      </c>
      <c r="P15" s="7"/>
      <c r="Q15" s="7">
        <v>0</v>
      </c>
      <c r="R15" s="7">
        <v>0</v>
      </c>
      <c r="S15" s="7"/>
      <c r="T15" s="7">
        <v>0</v>
      </c>
      <c r="U15" s="17">
        <v>0</v>
      </c>
    </row>
    <row r="16" spans="1:21">
      <c r="A16" t="s">
        <v>10</v>
      </c>
      <c r="B16" s="10">
        <v>84431.586322166651</v>
      </c>
      <c r="C16" s="7">
        <v>1336284.5999892182</v>
      </c>
      <c r="D16" s="7">
        <v>0</v>
      </c>
      <c r="E16" s="7">
        <v>0</v>
      </c>
      <c r="F16" s="17">
        <f t="shared" si="0"/>
        <v>1420716.1863113849</v>
      </c>
      <c r="H16" s="4" t="s">
        <v>70</v>
      </c>
      <c r="I16" s="14">
        <v>0</v>
      </c>
      <c r="K16" s="10">
        <v>112560</v>
      </c>
      <c r="L16" s="7">
        <v>0</v>
      </c>
      <c r="M16" s="7"/>
      <c r="N16" s="7">
        <v>2087440</v>
      </c>
      <c r="O16" s="7">
        <v>92229.35</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93093.521541268346</v>
      </c>
      <c r="C19" s="7">
        <v>10239.192710510457</v>
      </c>
      <c r="D19" s="7">
        <v>0</v>
      </c>
      <c r="E19" s="7">
        <v>0</v>
      </c>
      <c r="F19" s="17">
        <f t="shared" si="0"/>
        <v>103332.7142517788</v>
      </c>
      <c r="H19" s="4" t="s">
        <v>72</v>
      </c>
      <c r="I19" s="14">
        <v>46001671.584207803</v>
      </c>
      <c r="K19" s="10">
        <v>167000</v>
      </c>
      <c r="L19" s="7">
        <v>0</v>
      </c>
      <c r="M19" s="7"/>
      <c r="N19" s="7">
        <v>8000</v>
      </c>
      <c r="O19" s="7">
        <v>0</v>
      </c>
      <c r="P19" s="7"/>
      <c r="Q19" s="7">
        <v>0</v>
      </c>
      <c r="R19" s="7">
        <v>0</v>
      </c>
      <c r="S19" s="7"/>
      <c r="T19" s="7">
        <v>0</v>
      </c>
      <c r="U19" s="17">
        <v>0</v>
      </c>
    </row>
    <row r="20" spans="1:21">
      <c r="A20" t="s">
        <v>14</v>
      </c>
      <c r="B20" s="10">
        <v>139.85339401906958</v>
      </c>
      <c r="C20" s="7">
        <v>31222.065750730944</v>
      </c>
      <c r="D20" s="7">
        <v>0</v>
      </c>
      <c r="E20" s="7">
        <v>0</v>
      </c>
      <c r="F20" s="17">
        <f t="shared" si="0"/>
        <v>31361.919144750012</v>
      </c>
      <c r="H20" s="4" t="s">
        <v>73</v>
      </c>
      <c r="I20" s="14">
        <v>-131111.81455692928</v>
      </c>
      <c r="K20" s="10"/>
      <c r="L20" s="7"/>
      <c r="M20" s="7"/>
      <c r="N20" s="7"/>
      <c r="O20" s="7"/>
      <c r="P20" s="7"/>
      <c r="Q20" s="7"/>
      <c r="R20" s="7"/>
      <c r="S20" s="7"/>
      <c r="T20" s="7"/>
      <c r="U20" s="17"/>
    </row>
    <row r="21" spans="1:21">
      <c r="A21" t="s">
        <v>15</v>
      </c>
      <c r="B21" s="10">
        <v>252.95066483685866</v>
      </c>
      <c r="C21" s="7">
        <v>0</v>
      </c>
      <c r="D21" s="7">
        <v>0</v>
      </c>
      <c r="E21" s="7">
        <v>0</v>
      </c>
      <c r="F21" s="17">
        <f t="shared" si="0"/>
        <v>252.95066483685866</v>
      </c>
      <c r="H21" s="4" t="s">
        <v>74</v>
      </c>
      <c r="I21" s="14"/>
      <c r="K21" s="10"/>
      <c r="L21" s="7"/>
      <c r="M21" s="7"/>
      <c r="N21" s="7"/>
      <c r="O21" s="7"/>
      <c r="P21" s="7"/>
      <c r="Q21" s="7"/>
      <c r="R21" s="7"/>
      <c r="S21" s="7"/>
      <c r="T21" s="7"/>
      <c r="U21" s="17"/>
    </row>
    <row r="22" spans="1:21">
      <c r="A22" t="s">
        <v>16</v>
      </c>
      <c r="B22" s="10">
        <v>2100.1472503275872</v>
      </c>
      <c r="C22" s="7">
        <v>4164.2884289676149</v>
      </c>
      <c r="D22" s="7">
        <v>0</v>
      </c>
      <c r="E22" s="7">
        <v>0</v>
      </c>
      <c r="F22" s="17">
        <f t="shared" si="0"/>
        <v>6264.4356792952021</v>
      </c>
      <c r="H22" s="4" t="s">
        <v>75</v>
      </c>
      <c r="I22" s="14">
        <v>259235</v>
      </c>
      <c r="K22" s="10"/>
      <c r="L22" s="7"/>
      <c r="M22" s="7"/>
      <c r="N22" s="7"/>
      <c r="O22" s="7"/>
      <c r="P22" s="7"/>
      <c r="Q22" s="7"/>
      <c r="R22" s="7"/>
      <c r="S22" s="7"/>
      <c r="T22" s="7"/>
      <c r="U22" s="17"/>
    </row>
    <row r="23" spans="1:21">
      <c r="A23" t="s">
        <v>17</v>
      </c>
      <c r="B23" s="10">
        <v>40972.08370492798</v>
      </c>
      <c r="C23" s="7">
        <v>162621.77758973886</v>
      </c>
      <c r="D23" s="7">
        <v>0</v>
      </c>
      <c r="E23" s="7">
        <v>0</v>
      </c>
      <c r="F23" s="17">
        <f t="shared" si="0"/>
        <v>203593.86129466683</v>
      </c>
      <c r="H23" s="4" t="s">
        <v>76</v>
      </c>
      <c r="I23" s="14"/>
      <c r="K23" s="10">
        <v>59999</v>
      </c>
      <c r="L23" s="7">
        <v>0</v>
      </c>
      <c r="M23" s="7"/>
      <c r="N23" s="7">
        <v>280671</v>
      </c>
      <c r="O23" s="7">
        <v>50000</v>
      </c>
      <c r="P23" s="7"/>
      <c r="Q23" s="7">
        <v>0</v>
      </c>
      <c r="R23" s="7">
        <v>0</v>
      </c>
      <c r="S23" s="7"/>
      <c r="T23" s="7">
        <v>0</v>
      </c>
      <c r="U23" s="17">
        <v>0</v>
      </c>
    </row>
    <row r="24" spans="1:21">
      <c r="A24" t="s">
        <v>18</v>
      </c>
      <c r="B24" s="10">
        <v>107641.45707918925</v>
      </c>
      <c r="C24" s="7">
        <v>37528.513950682158</v>
      </c>
      <c r="D24" s="7">
        <v>0</v>
      </c>
      <c r="E24" s="7">
        <v>0</v>
      </c>
      <c r="F24" s="17">
        <f t="shared" si="0"/>
        <v>145169.97102987141</v>
      </c>
      <c r="H24" s="4" t="s">
        <v>77</v>
      </c>
      <c r="I24" s="14">
        <v>7843309.1354829157</v>
      </c>
      <c r="K24" s="10">
        <v>110873</v>
      </c>
      <c r="L24" s="7">
        <v>0</v>
      </c>
      <c r="M24" s="7"/>
      <c r="N24" s="7">
        <v>21127</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26787.168394089527</v>
      </c>
      <c r="C26" s="7">
        <v>61320.439671877568</v>
      </c>
      <c r="D26" s="7">
        <v>0</v>
      </c>
      <c r="E26" s="7">
        <v>0</v>
      </c>
      <c r="F26" s="17">
        <f t="shared" si="0"/>
        <v>88107.608065967099</v>
      </c>
      <c r="H26" s="4" t="s">
        <v>78</v>
      </c>
      <c r="I26" s="14">
        <f>SUM(I10:I16)-SUM(I19:I24)</f>
        <v>15753537.594517075</v>
      </c>
      <c r="K26" s="10">
        <v>18300</v>
      </c>
      <c r="L26" s="7">
        <v>0</v>
      </c>
      <c r="M26" s="7"/>
      <c r="N26" s="7">
        <v>53700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15753537.59451708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3927.0459475312637</v>
      </c>
      <c r="C30" s="7">
        <v>47654.482368954617</v>
      </c>
      <c r="D30" s="7">
        <v>0</v>
      </c>
      <c r="E30" s="7">
        <v>0</v>
      </c>
      <c r="F30" s="17">
        <f t="shared" si="0"/>
        <v>51581.528316485885</v>
      </c>
      <c r="K30" s="10"/>
      <c r="L30" s="7"/>
      <c r="M30" s="7"/>
      <c r="N30" s="7"/>
      <c r="O30" s="7"/>
      <c r="P30" s="7"/>
      <c r="Q30" s="7"/>
      <c r="R30" s="7"/>
      <c r="S30" s="7"/>
      <c r="T30" s="7"/>
      <c r="U30" s="17"/>
    </row>
    <row r="31" spans="1:21">
      <c r="A31" t="s">
        <v>25</v>
      </c>
      <c r="B31" s="10">
        <v>3345.1423927939313</v>
      </c>
      <c r="C31" s="7">
        <v>20053.549020276318</v>
      </c>
      <c r="D31" s="7">
        <v>0</v>
      </c>
      <c r="E31" s="7">
        <v>0</v>
      </c>
      <c r="F31" s="17">
        <f t="shared" si="0"/>
        <v>23398.69141307025</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1176.8529919085158</v>
      </c>
      <c r="C34" s="7">
        <v>0</v>
      </c>
      <c r="D34" s="7">
        <v>0</v>
      </c>
      <c r="E34" s="7">
        <v>0</v>
      </c>
      <c r="F34" s="17">
        <f t="shared" si="0"/>
        <v>1176.8529919085158</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8195.0646645259803</v>
      </c>
      <c r="C36" s="7">
        <v>53088.984992617421</v>
      </c>
      <c r="D36" s="7">
        <v>0</v>
      </c>
      <c r="E36" s="7">
        <v>0</v>
      </c>
      <c r="F36" s="17">
        <f t="shared" si="0"/>
        <v>61284.049657143405</v>
      </c>
      <c r="K36" s="10">
        <v>100000</v>
      </c>
      <c r="L36" s="7">
        <v>0</v>
      </c>
      <c r="M36" s="7"/>
      <c r="N36" s="7">
        <v>0</v>
      </c>
      <c r="O36" s="7">
        <v>0</v>
      </c>
      <c r="P36" s="7"/>
      <c r="Q36" s="7">
        <v>0</v>
      </c>
      <c r="R36" s="7">
        <v>0</v>
      </c>
      <c r="S36" s="7"/>
      <c r="T36" s="7">
        <v>0</v>
      </c>
      <c r="U36" s="17">
        <v>0</v>
      </c>
    </row>
    <row r="37" spans="1:21">
      <c r="A37" t="s">
        <v>31</v>
      </c>
      <c r="B37" s="10">
        <v>16879.310992203224</v>
      </c>
      <c r="C37" s="7">
        <v>0</v>
      </c>
      <c r="D37" s="7">
        <v>0</v>
      </c>
      <c r="E37" s="7">
        <v>0</v>
      </c>
      <c r="F37" s="17">
        <f t="shared" si="0"/>
        <v>16879.310992203224</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350734.36296945962</v>
      </c>
      <c r="C39" s="7">
        <v>2034913.5479454692</v>
      </c>
      <c r="D39" s="7">
        <v>225</v>
      </c>
      <c r="E39" s="7">
        <v>0</v>
      </c>
      <c r="F39" s="17">
        <f t="shared" si="1"/>
        <v>2385872.9109149287</v>
      </c>
      <c r="K39" s="10">
        <v>450000</v>
      </c>
      <c r="L39" s="7">
        <v>60000</v>
      </c>
      <c r="M39" s="7"/>
      <c r="N39" s="7">
        <v>2550000</v>
      </c>
      <c r="O39" s="7">
        <v>340000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51263.820570378113</v>
      </c>
      <c r="C41" s="7">
        <v>256252.29811261414</v>
      </c>
      <c r="D41" s="7">
        <v>0</v>
      </c>
      <c r="E41" s="7">
        <v>0</v>
      </c>
      <c r="F41" s="17">
        <f t="shared" si="1"/>
        <v>307516.11868299224</v>
      </c>
      <c r="K41" s="10">
        <v>70000</v>
      </c>
      <c r="L41" s="7">
        <v>0</v>
      </c>
      <c r="M41" s="7"/>
      <c r="N41" s="7">
        <v>370000</v>
      </c>
      <c r="O41" s="7">
        <v>0</v>
      </c>
      <c r="P41" s="7"/>
      <c r="Q41" s="7">
        <v>0</v>
      </c>
      <c r="R41" s="7">
        <v>0</v>
      </c>
      <c r="S41" s="7"/>
      <c r="T41" s="7">
        <v>0</v>
      </c>
      <c r="U41" s="17">
        <v>0</v>
      </c>
    </row>
    <row r="42" spans="1:21">
      <c r="A42" t="s">
        <v>36</v>
      </c>
      <c r="B42" s="10">
        <v>110488.68755197432</v>
      </c>
      <c r="C42" s="7">
        <v>33733.351952257683</v>
      </c>
      <c r="D42" s="7">
        <v>0</v>
      </c>
      <c r="E42" s="7">
        <v>0</v>
      </c>
      <c r="F42" s="17">
        <f t="shared" si="1"/>
        <v>144222.039504232</v>
      </c>
      <c r="K42" s="10">
        <v>52900</v>
      </c>
      <c r="L42" s="7">
        <v>0</v>
      </c>
      <c r="M42" s="7"/>
      <c r="N42" s="7">
        <v>177100</v>
      </c>
      <c r="O42" s="7">
        <v>0</v>
      </c>
      <c r="P42" s="7"/>
      <c r="Q42" s="7">
        <v>0</v>
      </c>
      <c r="R42" s="7">
        <v>0</v>
      </c>
      <c r="S42" s="7"/>
      <c r="T42" s="7">
        <v>0</v>
      </c>
      <c r="U42" s="17">
        <v>0</v>
      </c>
    </row>
    <row r="43" spans="1:21">
      <c r="A43" t="s">
        <v>37</v>
      </c>
      <c r="B43" s="10">
        <v>6559.4029142431727</v>
      </c>
      <c r="C43" s="7">
        <v>14020.524492511411</v>
      </c>
      <c r="D43" s="7">
        <v>0</v>
      </c>
      <c r="E43" s="7">
        <v>0</v>
      </c>
      <c r="F43" s="17">
        <f t="shared" si="1"/>
        <v>20579.927406754585</v>
      </c>
      <c r="K43" s="10"/>
      <c r="L43" s="7"/>
      <c r="M43" s="7"/>
      <c r="N43" s="7"/>
      <c r="O43" s="7"/>
      <c r="P43" s="7"/>
      <c r="Q43" s="7"/>
      <c r="R43" s="7"/>
      <c r="S43" s="7"/>
      <c r="T43" s="7"/>
      <c r="U43" s="17"/>
    </row>
    <row r="44" spans="1:21">
      <c r="A44" t="s">
        <v>38</v>
      </c>
      <c r="B44" s="10">
        <v>8598.3988610926499</v>
      </c>
      <c r="C44" s="7">
        <v>25763.173126449652</v>
      </c>
      <c r="D44" s="7">
        <v>0</v>
      </c>
      <c r="E44" s="7">
        <v>0</v>
      </c>
      <c r="F44" s="17">
        <f t="shared" si="1"/>
        <v>34361.571987542302</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1590735.4485729914</v>
      </c>
      <c r="C47" s="7">
        <v>4325890.2871682514</v>
      </c>
      <c r="D47" s="7">
        <v>0</v>
      </c>
      <c r="E47" s="7">
        <v>0</v>
      </c>
      <c r="F47" s="17">
        <f t="shared" si="1"/>
        <v>5916625.7357412428</v>
      </c>
      <c r="K47" s="10">
        <v>2518615</v>
      </c>
      <c r="L47" s="7">
        <v>0</v>
      </c>
      <c r="M47" s="7"/>
      <c r="N47" s="7">
        <v>6531385</v>
      </c>
      <c r="O47" s="7">
        <v>0</v>
      </c>
      <c r="P47" s="7"/>
      <c r="Q47" s="7">
        <v>0</v>
      </c>
      <c r="R47" s="7">
        <v>0</v>
      </c>
      <c r="S47" s="7"/>
      <c r="T47" s="7">
        <v>0</v>
      </c>
      <c r="U47" s="17">
        <v>0</v>
      </c>
    </row>
    <row r="48" spans="1:21">
      <c r="A48" t="s">
        <v>42</v>
      </c>
      <c r="B48" s="10">
        <v>49.989875546451572</v>
      </c>
      <c r="C48" s="7">
        <v>0</v>
      </c>
      <c r="D48" s="7">
        <v>0</v>
      </c>
      <c r="E48" s="7">
        <v>0</v>
      </c>
      <c r="F48" s="17">
        <f t="shared" si="1"/>
        <v>49.989875546451572</v>
      </c>
      <c r="K48" s="10"/>
      <c r="L48" s="7"/>
      <c r="M48" s="7"/>
      <c r="N48" s="7"/>
      <c r="O48" s="7"/>
      <c r="P48" s="7"/>
      <c r="Q48" s="7"/>
      <c r="R48" s="7"/>
      <c r="S48" s="7"/>
      <c r="T48" s="7"/>
      <c r="U48" s="17"/>
    </row>
    <row r="49" spans="1:21">
      <c r="A49" t="s">
        <v>43</v>
      </c>
      <c r="B49" s="10">
        <v>18914.333786926269</v>
      </c>
      <c r="C49" s="7">
        <v>1483810.7724028244</v>
      </c>
      <c r="D49" s="7">
        <v>0</v>
      </c>
      <c r="E49" s="7">
        <v>0</v>
      </c>
      <c r="F49" s="17">
        <f t="shared" si="1"/>
        <v>1502725.1061897506</v>
      </c>
      <c r="K49" s="10">
        <v>50000</v>
      </c>
      <c r="L49" s="7">
        <v>0</v>
      </c>
      <c r="M49" s="7"/>
      <c r="N49" s="7">
        <v>2450000</v>
      </c>
      <c r="O49" s="7">
        <v>0</v>
      </c>
      <c r="P49" s="7"/>
      <c r="Q49" s="7">
        <v>0</v>
      </c>
      <c r="R49" s="7">
        <v>0</v>
      </c>
      <c r="S49" s="7"/>
      <c r="T49" s="7">
        <v>0</v>
      </c>
      <c r="U49" s="17">
        <v>0</v>
      </c>
    </row>
    <row r="50" spans="1:21">
      <c r="A50" t="s">
        <v>44</v>
      </c>
      <c r="B50" s="10">
        <v>220274.30717626819</v>
      </c>
      <c r="C50" s="7">
        <v>391022.65461218817</v>
      </c>
      <c r="D50" s="7">
        <v>15146.34</v>
      </c>
      <c r="E50" s="7">
        <v>0</v>
      </c>
      <c r="F50" s="17">
        <f t="shared" si="1"/>
        <v>626443.30178845639</v>
      </c>
      <c r="K50" s="10">
        <v>523717</v>
      </c>
      <c r="L50" s="7">
        <v>139012</v>
      </c>
      <c r="M50" s="7"/>
      <c r="N50" s="7">
        <v>407272</v>
      </c>
      <c r="O50" s="7">
        <v>108114</v>
      </c>
      <c r="P50" s="7"/>
      <c r="Q50" s="7">
        <v>0</v>
      </c>
      <c r="R50" s="7">
        <v>0</v>
      </c>
      <c r="S50" s="7"/>
      <c r="T50" s="7">
        <v>0</v>
      </c>
      <c r="U50" s="17">
        <v>0</v>
      </c>
    </row>
    <row r="51" spans="1:21">
      <c r="A51" t="s">
        <v>45</v>
      </c>
      <c r="B51" s="10">
        <v>0</v>
      </c>
      <c r="C51" s="7">
        <v>52129.252768821032</v>
      </c>
      <c r="D51" s="7">
        <v>0</v>
      </c>
      <c r="E51" s="7">
        <v>0</v>
      </c>
      <c r="F51" s="17">
        <f t="shared" si="1"/>
        <v>52129.252768821032</v>
      </c>
      <c r="K51" s="10">
        <v>0</v>
      </c>
      <c r="L51" s="7">
        <v>0</v>
      </c>
      <c r="M51" s="7"/>
      <c r="N51" s="7">
        <v>47000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313213.74697012408</v>
      </c>
      <c r="C53" s="7">
        <v>1001885.9937878519</v>
      </c>
      <c r="D53" s="7">
        <v>762.5</v>
      </c>
      <c r="E53" s="7">
        <v>0</v>
      </c>
      <c r="F53" s="17">
        <f t="shared" si="1"/>
        <v>1315862.240757976</v>
      </c>
      <c r="K53" s="10">
        <v>368136</v>
      </c>
      <c r="L53" s="7">
        <v>18000</v>
      </c>
      <c r="M53" s="7"/>
      <c r="N53" s="7">
        <v>1104909</v>
      </c>
      <c r="O53" s="7">
        <v>51387</v>
      </c>
      <c r="P53" s="7"/>
      <c r="Q53" s="7">
        <v>0</v>
      </c>
      <c r="R53" s="7">
        <v>0</v>
      </c>
      <c r="S53" s="7"/>
      <c r="T53" s="7">
        <v>0</v>
      </c>
      <c r="U53" s="17">
        <v>0</v>
      </c>
    </row>
    <row r="54" spans="1:21">
      <c r="A54" t="s">
        <v>48</v>
      </c>
      <c r="B54" s="10">
        <v>57393.755928608458</v>
      </c>
      <c r="C54" s="7">
        <v>61.565259422232693</v>
      </c>
      <c r="D54" s="7">
        <v>0</v>
      </c>
      <c r="E54" s="7">
        <v>0</v>
      </c>
      <c r="F54" s="17">
        <f t="shared" si="1"/>
        <v>57455.321188030692</v>
      </c>
      <c r="K54" s="10"/>
      <c r="L54" s="7"/>
      <c r="M54" s="7"/>
      <c r="N54" s="7"/>
      <c r="O54" s="7"/>
      <c r="P54" s="7"/>
      <c r="Q54" s="7"/>
      <c r="R54" s="7"/>
      <c r="S54" s="7"/>
      <c r="T54" s="7"/>
      <c r="U54" s="17"/>
    </row>
    <row r="55" spans="1:21">
      <c r="A55" t="s">
        <v>49</v>
      </c>
      <c r="B55" s="10">
        <v>27911.35232082232</v>
      </c>
      <c r="C55" s="7">
        <v>135423.72321378288</v>
      </c>
      <c r="D55" s="7">
        <v>0</v>
      </c>
      <c r="E55" s="7">
        <v>0</v>
      </c>
      <c r="F55" s="17">
        <f t="shared" si="1"/>
        <v>163335.07553460519</v>
      </c>
      <c r="K55" s="10">
        <v>132436</v>
      </c>
      <c r="L55" s="7">
        <v>139679</v>
      </c>
      <c r="M55" s="7"/>
      <c r="N55" s="7">
        <v>642564</v>
      </c>
      <c r="O55" s="7">
        <v>683850</v>
      </c>
      <c r="P55" s="7"/>
      <c r="Q55" s="7">
        <v>0</v>
      </c>
      <c r="R55" s="7">
        <v>0</v>
      </c>
      <c r="S55" s="7"/>
      <c r="T55" s="7">
        <v>0</v>
      </c>
      <c r="U55" s="17">
        <v>0</v>
      </c>
    </row>
    <row r="56" spans="1:21">
      <c r="A56" t="s">
        <v>50</v>
      </c>
      <c r="B56" s="10">
        <v>215.25330812917821</v>
      </c>
      <c r="C56" s="7">
        <v>7472.7616196329554</v>
      </c>
      <c r="D56" s="7">
        <v>0</v>
      </c>
      <c r="E56" s="7">
        <v>0</v>
      </c>
      <c r="F56" s="17">
        <f t="shared" si="1"/>
        <v>7688.014927762134</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3599919.1307609417</v>
      </c>
      <c r="C60" s="7">
        <f>SUM(C6:C58)</f>
        <v>12137484.62375614</v>
      </c>
      <c r="D60" s="7">
        <f>SUM(D6:D58)</f>
        <v>16133.84</v>
      </c>
      <c r="E60" s="7">
        <f>SUM(E6:E58)</f>
        <v>0</v>
      </c>
      <c r="F60" s="17">
        <f>SUM(F6:F58)</f>
        <v>15753537.59451708</v>
      </c>
      <c r="K60" s="10">
        <f>SUM(K6:K58)</f>
        <v>5270688</v>
      </c>
      <c r="L60" s="7">
        <f>SUM(L6:L58)</f>
        <v>356691</v>
      </c>
      <c r="M60" s="7"/>
      <c r="N60" s="7">
        <f>SUM(N6:N58)</f>
        <v>17846770</v>
      </c>
      <c r="O60" s="7">
        <f>SUM(O6:O58)</f>
        <v>1325580.3500000001</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Italic"Investment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147139267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5573245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3273317</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22158.87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19626887.870000001</v>
      </c>
      <c r="D17" s="7">
        <v>0</v>
      </c>
      <c r="E17" s="7">
        <v>0</v>
      </c>
      <c r="F17" s="17">
        <f t="shared" si="0"/>
        <v>19626887.870000001</v>
      </c>
      <c r="H17" s="4"/>
      <c r="I17" s="14"/>
      <c r="K17" s="10">
        <v>27611280</v>
      </c>
      <c r="L17" s="7">
        <v>20999761</v>
      </c>
      <c r="M17" s="7"/>
      <c r="N17" s="7">
        <v>22525117</v>
      </c>
      <c r="O17" s="7">
        <v>11243274</v>
      </c>
      <c r="P17" s="7"/>
      <c r="Q17" s="7">
        <v>11732231</v>
      </c>
      <c r="R17" s="7">
        <v>11500000</v>
      </c>
      <c r="S17" s="7"/>
      <c r="T17" s="7">
        <v>0</v>
      </c>
      <c r="U17" s="17">
        <v>0</v>
      </c>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120749975</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10434763</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5196362</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19626887.870000005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19626887.870000001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19626887.870000001</v>
      </c>
      <c r="D60" s="7">
        <f>SUM(D6:D58)</f>
        <v>0</v>
      </c>
      <c r="E60" s="7">
        <f>SUM(E6:E58)</f>
        <v>0</v>
      </c>
      <c r="F60" s="17">
        <f>SUM(F6:F58)</f>
        <v>19626887.870000001</v>
      </c>
      <c r="K60" s="10">
        <f>SUM(K6:K58)</f>
        <v>27611280</v>
      </c>
      <c r="L60" s="7">
        <f>SUM(L6:L58)</f>
        <v>20999761</v>
      </c>
      <c r="M60" s="7"/>
      <c r="N60" s="7">
        <f>SUM(N6:N58)</f>
        <v>22525117</v>
      </c>
      <c r="O60" s="7">
        <f>SUM(O6:O58)</f>
        <v>11243274</v>
      </c>
      <c r="P60" s="7"/>
      <c r="Q60" s="7">
        <f>SUM(Q6:Q58)</f>
        <v>11732231</v>
      </c>
      <c r="R60" s="7">
        <f>SUM(R6:R58)</f>
        <v>11500000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Italic"Investors Equity Life Insurance Company of Hawaii, LTD&amp;R&amp;"Geneva,Bold"UNAUDITED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-205582.61785506574</v>
      </c>
      <c r="C6" s="7">
        <v>-6453.7629895972495</v>
      </c>
      <c r="D6" s="7">
        <v>0</v>
      </c>
      <c r="E6" s="7">
        <v>0</v>
      </c>
      <c r="F6" s="17">
        <f t="shared" ref="F6:F37" si="0">SUM(B6:E6)</f>
        <v>-212036.38084466298</v>
      </c>
      <c r="K6" s="10">
        <v>1900000</v>
      </c>
      <c r="L6" s="7">
        <v>0</v>
      </c>
      <c r="M6" s="7"/>
      <c r="N6" s="7">
        <v>69317</v>
      </c>
      <c r="O6" s="7">
        <v>0</v>
      </c>
      <c r="P6" s="7"/>
      <c r="Q6" s="7">
        <v>0</v>
      </c>
      <c r="R6" s="7">
        <v>0</v>
      </c>
      <c r="S6" s="7"/>
      <c r="T6" s="7">
        <v>0</v>
      </c>
      <c r="U6" s="17">
        <v>0</v>
      </c>
    </row>
    <row r="7" spans="1:21">
      <c r="A7" t="s">
        <v>1</v>
      </c>
      <c r="B7" s="10">
        <v>56396.497504781524</v>
      </c>
      <c r="C7" s="7">
        <v>15830.280565610417</v>
      </c>
      <c r="D7" s="7">
        <v>0</v>
      </c>
      <c r="E7" s="7">
        <v>0</v>
      </c>
      <c r="F7" s="17">
        <f t="shared" si="0"/>
        <v>72226.778070391942</v>
      </c>
      <c r="H7" s="22"/>
      <c r="I7" s="24"/>
      <c r="K7" s="10">
        <v>283000</v>
      </c>
      <c r="L7" s="7">
        <v>333000</v>
      </c>
      <c r="M7" s="7"/>
      <c r="N7" s="7">
        <v>94000</v>
      </c>
      <c r="O7" s="7">
        <v>125000</v>
      </c>
      <c r="P7" s="7"/>
      <c r="Q7" s="7">
        <v>0</v>
      </c>
      <c r="R7" s="7">
        <v>0</v>
      </c>
      <c r="S7" s="7"/>
      <c r="T7" s="7">
        <v>0</v>
      </c>
      <c r="U7" s="17">
        <v>0</v>
      </c>
    </row>
    <row r="8" spans="1:21">
      <c r="A8" t="s">
        <v>2</v>
      </c>
      <c r="B8" s="10">
        <v>-273670.72022008011</v>
      </c>
      <c r="C8" s="7">
        <v>2560.3732838574215</v>
      </c>
      <c r="D8" s="7">
        <v>0</v>
      </c>
      <c r="E8" s="7">
        <v>0</v>
      </c>
      <c r="F8" s="17">
        <f t="shared" si="0"/>
        <v>-271110.34693622269</v>
      </c>
      <c r="H8" s="4" t="s">
        <v>64</v>
      </c>
      <c r="I8" s="13"/>
      <c r="K8" s="10">
        <v>953650</v>
      </c>
      <c r="L8" s="7">
        <v>0</v>
      </c>
      <c r="M8" s="7"/>
      <c r="N8" s="7">
        <v>120413</v>
      </c>
      <c r="O8" s="7">
        <v>0</v>
      </c>
      <c r="P8" s="7"/>
      <c r="Q8" s="7">
        <v>0</v>
      </c>
      <c r="R8" s="7">
        <v>0</v>
      </c>
      <c r="S8" s="7"/>
      <c r="T8" s="7">
        <v>0</v>
      </c>
      <c r="U8" s="17">
        <v>0</v>
      </c>
    </row>
    <row r="9" spans="1:21">
      <c r="A9" t="s">
        <v>3</v>
      </c>
      <c r="B9" s="10">
        <v>-45383.190086163348</v>
      </c>
      <c r="C9" s="7">
        <v>4399.8666840465739</v>
      </c>
      <c r="D9" s="7">
        <v>0</v>
      </c>
      <c r="E9" s="7">
        <v>0</v>
      </c>
      <c r="F9" s="17">
        <f t="shared" si="0"/>
        <v>-40983.323402116774</v>
      </c>
      <c r="H9" s="4"/>
      <c r="I9" s="13"/>
      <c r="K9" s="10">
        <v>1090241</v>
      </c>
      <c r="L9" s="7">
        <v>0</v>
      </c>
      <c r="M9" s="7"/>
      <c r="N9" s="7">
        <v>0</v>
      </c>
      <c r="O9" s="7">
        <v>0</v>
      </c>
      <c r="P9" s="7"/>
      <c r="Q9" s="7">
        <v>0</v>
      </c>
      <c r="R9" s="7">
        <v>0</v>
      </c>
      <c r="S9" s="7"/>
      <c r="T9" s="7">
        <v>0</v>
      </c>
      <c r="U9" s="17">
        <v>0</v>
      </c>
    </row>
    <row r="10" spans="1:21">
      <c r="A10" t="s">
        <v>4</v>
      </c>
      <c r="B10" s="10">
        <v>-344860.18319996633</v>
      </c>
      <c r="C10" s="7">
        <v>74390.246571509109</v>
      </c>
      <c r="D10" s="7">
        <v>0</v>
      </c>
      <c r="E10" s="7">
        <v>0</v>
      </c>
      <c r="F10" s="17">
        <f t="shared" si="0"/>
        <v>-270469.93662845722</v>
      </c>
      <c r="H10" s="4" t="s">
        <v>65</v>
      </c>
      <c r="I10" s="14">
        <v>765438159.46497142</v>
      </c>
      <c r="K10" s="10">
        <v>18173100</v>
      </c>
      <c r="L10" s="7">
        <v>24700000</v>
      </c>
      <c r="M10" s="7"/>
      <c r="N10" s="7">
        <v>573100</v>
      </c>
      <c r="O10" s="7">
        <v>1000000</v>
      </c>
      <c r="P10" s="7"/>
      <c r="Q10" s="7">
        <v>0</v>
      </c>
      <c r="R10" s="7">
        <v>0</v>
      </c>
      <c r="S10" s="7"/>
      <c r="T10" s="7">
        <v>0</v>
      </c>
      <c r="U10" s="17">
        <v>0</v>
      </c>
    </row>
    <row r="11" spans="1:21">
      <c r="A11" t="s">
        <v>5</v>
      </c>
      <c r="B11" s="10">
        <v>-121247.42129739583</v>
      </c>
      <c r="C11" s="7">
        <v>10497.93765714101</v>
      </c>
      <c r="D11" s="7">
        <v>0</v>
      </c>
      <c r="E11" s="7">
        <v>0</v>
      </c>
      <c r="F11" s="17">
        <f t="shared" si="0"/>
        <v>-110749.48364025482</v>
      </c>
      <c r="H11" s="4"/>
      <c r="I11" s="14"/>
      <c r="K11" s="10">
        <v>2150102</v>
      </c>
      <c r="L11" s="7">
        <v>3128840</v>
      </c>
      <c r="M11" s="7"/>
      <c r="N11" s="7">
        <v>149714</v>
      </c>
      <c r="O11" s="7">
        <v>70000</v>
      </c>
      <c r="P11" s="7"/>
      <c r="Q11" s="7">
        <v>0</v>
      </c>
      <c r="R11" s="7">
        <v>21787</v>
      </c>
      <c r="S11" s="7"/>
      <c r="T11" s="7">
        <v>0</v>
      </c>
      <c r="U11" s="17">
        <v>0</v>
      </c>
    </row>
    <row r="12" spans="1:21">
      <c r="A12" t="s">
        <v>6</v>
      </c>
      <c r="B12" s="10">
        <v>-52755.79578971304</v>
      </c>
      <c r="C12" s="7">
        <v>1537.0608342444139</v>
      </c>
      <c r="D12" s="7">
        <v>0</v>
      </c>
      <c r="E12" s="7">
        <v>0</v>
      </c>
      <c r="F12" s="17">
        <f t="shared" si="0"/>
        <v>-51218.734955468623</v>
      </c>
      <c r="H12" s="4" t="s">
        <v>66</v>
      </c>
      <c r="I12" s="14"/>
      <c r="K12" s="10">
        <v>785000</v>
      </c>
      <c r="L12" s="7">
        <v>731234</v>
      </c>
      <c r="M12" s="7"/>
      <c r="N12" s="7">
        <v>0</v>
      </c>
      <c r="O12" s="7">
        <v>0</v>
      </c>
      <c r="P12" s="7"/>
      <c r="Q12" s="7">
        <v>0</v>
      </c>
      <c r="R12" s="7">
        <v>0</v>
      </c>
      <c r="S12" s="7"/>
      <c r="T12" s="7">
        <v>0</v>
      </c>
      <c r="U12" s="17">
        <v>0</v>
      </c>
    </row>
    <row r="13" spans="1:21">
      <c r="A13" t="s">
        <v>7</v>
      </c>
      <c r="B13" s="10">
        <v>-78679.194118464045</v>
      </c>
      <c r="C13" s="7">
        <v>-618.85085094383976</v>
      </c>
      <c r="D13" s="7">
        <v>0</v>
      </c>
      <c r="E13" s="7">
        <v>0</v>
      </c>
      <c r="F13" s="17">
        <f t="shared" si="0"/>
        <v>-79298.044969407885</v>
      </c>
      <c r="H13" s="4" t="s">
        <v>67</v>
      </c>
      <c r="I13" s="14">
        <v>0</v>
      </c>
      <c r="K13" s="10">
        <v>87000</v>
      </c>
      <c r="L13" s="7">
        <v>0</v>
      </c>
      <c r="M13" s="7"/>
      <c r="N13" s="7">
        <v>3000</v>
      </c>
      <c r="O13" s="7">
        <v>0</v>
      </c>
      <c r="P13" s="7"/>
      <c r="Q13" s="7">
        <v>0</v>
      </c>
      <c r="R13" s="7">
        <v>0</v>
      </c>
      <c r="S13" s="7"/>
      <c r="T13" s="7">
        <v>0</v>
      </c>
      <c r="U13" s="17">
        <v>0</v>
      </c>
    </row>
    <row r="14" spans="1:21">
      <c r="A14" t="s">
        <v>8</v>
      </c>
      <c r="B14" s="10">
        <v>33656.826708194872</v>
      </c>
      <c r="C14" s="7">
        <v>20767.878973782543</v>
      </c>
      <c r="D14" s="7">
        <v>0</v>
      </c>
      <c r="E14" s="7">
        <v>0</v>
      </c>
      <c r="F14" s="17">
        <f t="shared" si="0"/>
        <v>54424.705681977415</v>
      </c>
      <c r="H14" s="4" t="s">
        <v>68</v>
      </c>
      <c r="I14" s="14">
        <v>5116161</v>
      </c>
      <c r="K14" s="10">
        <v>100000</v>
      </c>
      <c r="L14" s="7">
        <v>113572</v>
      </c>
      <c r="M14" s="7"/>
      <c r="N14" s="7">
        <v>5000</v>
      </c>
      <c r="O14" s="7">
        <v>10656</v>
      </c>
      <c r="P14" s="7"/>
      <c r="Q14" s="7">
        <v>0</v>
      </c>
      <c r="R14" s="7">
        <v>0</v>
      </c>
      <c r="S14" s="7"/>
      <c r="T14" s="7">
        <v>0</v>
      </c>
      <c r="U14" s="17">
        <v>0</v>
      </c>
    </row>
    <row r="15" spans="1:21">
      <c r="A15" t="s">
        <v>9</v>
      </c>
      <c r="B15" s="10">
        <v>-975176.90825236589</v>
      </c>
      <c r="C15" s="7">
        <v>-17088.544577965862</v>
      </c>
      <c r="D15" s="7">
        <v>0</v>
      </c>
      <c r="E15" s="7">
        <v>0</v>
      </c>
      <c r="F15" s="17">
        <f t="shared" si="0"/>
        <v>-992265.45283033175</v>
      </c>
      <c r="H15" s="4" t="s">
        <v>69</v>
      </c>
      <c r="I15" s="14">
        <v>7498492.000500001</v>
      </c>
      <c r="K15" s="10">
        <v>6100000</v>
      </c>
      <c r="L15" s="7">
        <v>0</v>
      </c>
      <c r="M15" s="7"/>
      <c r="N15" s="7">
        <v>500000</v>
      </c>
      <c r="O15" s="7">
        <v>0</v>
      </c>
      <c r="P15" s="7"/>
      <c r="Q15" s="7">
        <v>0</v>
      </c>
      <c r="R15" s="7">
        <v>0</v>
      </c>
      <c r="S15" s="7"/>
      <c r="T15" s="7">
        <v>0</v>
      </c>
      <c r="U15" s="17">
        <v>0</v>
      </c>
    </row>
    <row r="16" spans="1:21">
      <c r="A16" t="s">
        <v>10</v>
      </c>
      <c r="B16" s="10">
        <v>-303201.04709860403</v>
      </c>
      <c r="C16" s="7">
        <v>3155.7315781511425</v>
      </c>
      <c r="D16" s="7">
        <v>0</v>
      </c>
      <c r="E16" s="7">
        <v>0</v>
      </c>
      <c r="F16" s="17">
        <f t="shared" si="0"/>
        <v>-300045.31552045292</v>
      </c>
      <c r="H16" s="4" t="s">
        <v>70</v>
      </c>
      <c r="I16" s="14">
        <v>0</v>
      </c>
      <c r="K16" s="10">
        <v>1806365</v>
      </c>
      <c r="L16" s="7">
        <v>0</v>
      </c>
      <c r="M16" s="7"/>
      <c r="N16" s="7">
        <v>93635</v>
      </c>
      <c r="O16" s="7">
        <v>4595.29</v>
      </c>
      <c r="P16" s="7"/>
      <c r="Q16" s="7">
        <v>0</v>
      </c>
      <c r="R16" s="7">
        <v>0</v>
      </c>
      <c r="S16" s="7"/>
      <c r="T16" s="7">
        <v>0</v>
      </c>
      <c r="U16" s="17">
        <v>0</v>
      </c>
    </row>
    <row r="17" spans="1:21">
      <c r="A17" t="s">
        <v>11</v>
      </c>
      <c r="B17" s="10">
        <v>-66579.350114296132</v>
      </c>
      <c r="C17" s="7">
        <v>-7697.7565713208278</v>
      </c>
      <c r="D17" s="7">
        <v>0</v>
      </c>
      <c r="E17" s="7">
        <v>0</v>
      </c>
      <c r="F17" s="17">
        <f t="shared" si="0"/>
        <v>-74277.106685616964</v>
      </c>
      <c r="H17" s="4"/>
      <c r="I17" s="14"/>
      <c r="K17" s="10">
        <v>366380</v>
      </c>
      <c r="L17" s="7">
        <v>0</v>
      </c>
      <c r="M17" s="7"/>
      <c r="N17" s="7">
        <v>14880</v>
      </c>
      <c r="O17" s="7">
        <v>0</v>
      </c>
      <c r="P17" s="7"/>
      <c r="Q17" s="7">
        <v>30</v>
      </c>
      <c r="R17" s="7">
        <v>0</v>
      </c>
      <c r="S17" s="7"/>
      <c r="T17" s="7">
        <v>0</v>
      </c>
      <c r="U17" s="17">
        <v>0</v>
      </c>
    </row>
    <row r="18" spans="1:21">
      <c r="A18" t="s">
        <v>12</v>
      </c>
      <c r="B18" s="10">
        <v>-316021.54727951158</v>
      </c>
      <c r="C18" s="7">
        <v>-1954.9775029789453</v>
      </c>
      <c r="D18" s="7">
        <v>0</v>
      </c>
      <c r="E18" s="7">
        <v>0</v>
      </c>
      <c r="F18" s="17">
        <f t="shared" si="0"/>
        <v>-317976.52478249051</v>
      </c>
      <c r="H18" s="4" t="s">
        <v>71</v>
      </c>
      <c r="I18" s="14"/>
      <c r="K18" s="10">
        <v>2549400</v>
      </c>
      <c r="L18" s="7">
        <v>1180454</v>
      </c>
      <c r="M18" s="7"/>
      <c r="N18" s="7">
        <v>200600</v>
      </c>
      <c r="O18" s="7">
        <v>0</v>
      </c>
      <c r="P18" s="7"/>
      <c r="Q18" s="7">
        <v>0</v>
      </c>
      <c r="R18" s="7">
        <v>0</v>
      </c>
      <c r="S18" s="7"/>
      <c r="T18" s="7">
        <v>0</v>
      </c>
      <c r="U18" s="17">
        <v>0</v>
      </c>
    </row>
    <row r="19" spans="1:21">
      <c r="A19" t="s">
        <v>13</v>
      </c>
      <c r="B19" s="10">
        <v>-400704.77098049503</v>
      </c>
      <c r="C19" s="7">
        <v>-6419.4058971172199</v>
      </c>
      <c r="D19" s="7">
        <v>0</v>
      </c>
      <c r="E19" s="7">
        <v>0</v>
      </c>
      <c r="F19" s="17">
        <f t="shared" si="0"/>
        <v>-407124.17687761225</v>
      </c>
      <c r="H19" s="4" t="s">
        <v>72</v>
      </c>
      <c r="I19" s="14">
        <v>714278169.00000012</v>
      </c>
      <c r="K19" s="10">
        <v>5500000</v>
      </c>
      <c r="L19" s="7">
        <v>6070000</v>
      </c>
      <c r="M19" s="7"/>
      <c r="N19" s="7">
        <v>500000</v>
      </c>
      <c r="O19" s="7">
        <v>1635000</v>
      </c>
      <c r="P19" s="7"/>
      <c r="Q19" s="7">
        <v>0</v>
      </c>
      <c r="R19" s="7">
        <v>0</v>
      </c>
      <c r="S19" s="7"/>
      <c r="T19" s="7">
        <v>0</v>
      </c>
      <c r="U19" s="17">
        <v>0</v>
      </c>
    </row>
    <row r="20" spans="1:21">
      <c r="A20" t="s">
        <v>14</v>
      </c>
      <c r="B20" s="10">
        <v>-467141.70803352538</v>
      </c>
      <c r="C20" s="7">
        <v>89514.504883282701</v>
      </c>
      <c r="D20" s="7">
        <v>0</v>
      </c>
      <c r="E20" s="7">
        <v>0</v>
      </c>
      <c r="F20" s="17">
        <f t="shared" si="0"/>
        <v>-377627.20315024268</v>
      </c>
      <c r="H20" s="4" t="s">
        <v>73</v>
      </c>
      <c r="I20" s="14">
        <v>-357884520.69994879</v>
      </c>
      <c r="K20" s="10">
        <v>1098547</v>
      </c>
      <c r="L20" s="7">
        <v>0</v>
      </c>
      <c r="M20" s="7"/>
      <c r="N20" s="7">
        <v>299899</v>
      </c>
      <c r="O20" s="7">
        <v>0</v>
      </c>
      <c r="P20" s="7"/>
      <c r="Q20" s="7">
        <v>0</v>
      </c>
      <c r="R20" s="7">
        <v>0</v>
      </c>
      <c r="S20" s="7"/>
      <c r="T20" s="7">
        <v>0</v>
      </c>
      <c r="U20" s="17">
        <v>0</v>
      </c>
    </row>
    <row r="21" spans="1:21">
      <c r="A21" t="s">
        <v>15</v>
      </c>
      <c r="B21" s="10">
        <v>-13379.036973797251</v>
      </c>
      <c r="C21" s="7">
        <v>12816.894197144022</v>
      </c>
      <c r="D21" s="7">
        <v>0</v>
      </c>
      <c r="E21" s="7">
        <v>0</v>
      </c>
      <c r="F21" s="17">
        <f t="shared" si="0"/>
        <v>-562.14277665322879</v>
      </c>
      <c r="H21" s="4" t="s">
        <v>74</v>
      </c>
      <c r="I21" s="14"/>
      <c r="K21" s="10">
        <v>1000000</v>
      </c>
      <c r="L21" s="7">
        <v>0</v>
      </c>
      <c r="M21" s="7"/>
      <c r="N21" s="7">
        <v>0</v>
      </c>
      <c r="O21" s="7">
        <v>0</v>
      </c>
      <c r="P21" s="7"/>
      <c r="Q21" s="7">
        <v>0</v>
      </c>
      <c r="R21" s="7">
        <v>0</v>
      </c>
      <c r="S21" s="7"/>
      <c r="T21" s="7">
        <v>0</v>
      </c>
      <c r="U21" s="17">
        <v>0</v>
      </c>
    </row>
    <row r="22" spans="1:21">
      <c r="A22" t="s">
        <v>16</v>
      </c>
      <c r="B22" s="10">
        <v>-197120.77694822848</v>
      </c>
      <c r="C22" s="7">
        <v>9322.3763811461395</v>
      </c>
      <c r="D22" s="7">
        <v>0</v>
      </c>
      <c r="E22" s="7">
        <v>0</v>
      </c>
      <c r="F22" s="17">
        <f t="shared" si="0"/>
        <v>-187798.40056708234</v>
      </c>
      <c r="H22" s="4" t="s">
        <v>75</v>
      </c>
      <c r="I22" s="14">
        <v>233590142.16492066</v>
      </c>
      <c r="K22" s="10"/>
      <c r="L22" s="7"/>
      <c r="M22" s="7"/>
      <c r="N22" s="7"/>
      <c r="O22" s="7"/>
      <c r="P22" s="7"/>
      <c r="Q22" s="7"/>
      <c r="R22" s="7"/>
      <c r="S22" s="7"/>
      <c r="T22" s="7"/>
      <c r="U22" s="17"/>
    </row>
    <row r="23" spans="1:21">
      <c r="A23" t="s">
        <v>17</v>
      </c>
      <c r="B23" s="10">
        <v>-1030026.0397781152</v>
      </c>
      <c r="C23" s="7">
        <v>-185780.44370768778</v>
      </c>
      <c r="D23" s="7">
        <v>0</v>
      </c>
      <c r="E23" s="7">
        <v>0</v>
      </c>
      <c r="F23" s="17">
        <f t="shared" si="0"/>
        <v>-1215806.483485803</v>
      </c>
      <c r="H23" s="4" t="s">
        <v>76</v>
      </c>
      <c r="I23" s="14"/>
      <c r="K23" s="10">
        <v>10331657</v>
      </c>
      <c r="L23" s="7">
        <v>10251563</v>
      </c>
      <c r="M23" s="7"/>
      <c r="N23" s="7">
        <v>2835989</v>
      </c>
      <c r="O23" s="7">
        <v>2840382</v>
      </c>
      <c r="P23" s="7"/>
      <c r="Q23" s="7">
        <v>99323</v>
      </c>
      <c r="R23" s="7">
        <v>98105</v>
      </c>
      <c r="S23" s="7"/>
      <c r="T23" s="7">
        <v>0</v>
      </c>
      <c r="U23" s="17">
        <v>0</v>
      </c>
    </row>
    <row r="24" spans="1:21">
      <c r="A24" t="s">
        <v>18</v>
      </c>
      <c r="B24" s="10">
        <v>-189012.46276831254</v>
      </c>
      <c r="C24" s="7">
        <v>-274.73181454493169</v>
      </c>
      <c r="D24" s="7">
        <v>0</v>
      </c>
      <c r="E24" s="7">
        <v>0</v>
      </c>
      <c r="F24" s="17">
        <f t="shared" si="0"/>
        <v>-189287.19458285748</v>
      </c>
      <c r="H24" s="4" t="s">
        <v>77</v>
      </c>
      <c r="I24" s="14">
        <v>200617794</v>
      </c>
      <c r="K24" s="10">
        <v>1368000</v>
      </c>
      <c r="L24" s="7">
        <v>0</v>
      </c>
      <c r="M24" s="7"/>
      <c r="N24" s="7">
        <v>57000</v>
      </c>
      <c r="O24" s="7">
        <v>0</v>
      </c>
      <c r="P24" s="7"/>
      <c r="Q24" s="7">
        <v>0</v>
      </c>
      <c r="R24" s="7">
        <v>0</v>
      </c>
      <c r="S24" s="7"/>
      <c r="T24" s="7">
        <v>0</v>
      </c>
      <c r="U24" s="17">
        <v>0</v>
      </c>
    </row>
    <row r="25" spans="1:21">
      <c r="A25" t="s">
        <v>19</v>
      </c>
      <c r="B25" s="10">
        <v>-35200.426631124807</v>
      </c>
      <c r="C25" s="7">
        <v>518.58577893478378</v>
      </c>
      <c r="D25" s="7">
        <v>0</v>
      </c>
      <c r="E25" s="7">
        <v>0</v>
      </c>
      <c r="F25" s="17">
        <f t="shared" si="0"/>
        <v>-34681.84085219002</v>
      </c>
      <c r="H25" s="4"/>
      <c r="I25" s="14"/>
      <c r="K25" s="10">
        <v>791200</v>
      </c>
      <c r="L25" s="7">
        <v>0</v>
      </c>
      <c r="M25" s="7"/>
      <c r="N25" s="7">
        <v>800</v>
      </c>
      <c r="O25" s="7">
        <v>0</v>
      </c>
      <c r="P25" s="7"/>
      <c r="Q25" s="7">
        <v>0</v>
      </c>
      <c r="R25" s="7">
        <v>0</v>
      </c>
      <c r="S25" s="7"/>
      <c r="T25" s="7">
        <v>0</v>
      </c>
      <c r="U25" s="17">
        <v>0</v>
      </c>
    </row>
    <row r="26" spans="1:21">
      <c r="A26" t="s">
        <v>20</v>
      </c>
      <c r="B26" s="10">
        <v>-188356.81745762192</v>
      </c>
      <c r="C26" s="7">
        <v>-3721.1940854207351</v>
      </c>
      <c r="D26" s="7">
        <v>0</v>
      </c>
      <c r="E26" s="7">
        <v>0</v>
      </c>
      <c r="F26" s="17">
        <f t="shared" si="0"/>
        <v>-192078.01154304267</v>
      </c>
      <c r="H26" s="4" t="s">
        <v>78</v>
      </c>
      <c r="I26" s="14">
        <f>SUM(I10:I16)-SUM(I19:I24)</f>
        <v>-12548771.999500632</v>
      </c>
      <c r="K26" s="10">
        <v>148500</v>
      </c>
      <c r="L26" s="7">
        <v>0</v>
      </c>
      <c r="M26" s="7"/>
      <c r="N26" s="7">
        <v>2326500</v>
      </c>
      <c r="O26" s="7">
        <v>0</v>
      </c>
      <c r="P26" s="7"/>
      <c r="Q26" s="7">
        <v>0</v>
      </c>
      <c r="R26" s="7">
        <v>0</v>
      </c>
      <c r="S26" s="7"/>
      <c r="T26" s="7">
        <v>0</v>
      </c>
      <c r="U26" s="17">
        <v>0</v>
      </c>
    </row>
    <row r="27" spans="1:21">
      <c r="A27" t="s">
        <v>21</v>
      </c>
      <c r="B27" s="10">
        <v>-143588.96590973763</v>
      </c>
      <c r="C27" s="7">
        <v>954.74231928467634</v>
      </c>
      <c r="D27" s="7">
        <v>0</v>
      </c>
      <c r="E27" s="7">
        <v>0</v>
      </c>
      <c r="F27" s="17">
        <f t="shared" si="0"/>
        <v>-142634.22359045295</v>
      </c>
      <c r="H27" s="4" t="s">
        <v>79</v>
      </c>
      <c r="I27" s="14">
        <f>+F60</f>
        <v>-12548771.99949999</v>
      </c>
      <c r="K27" s="10">
        <v>1670000</v>
      </c>
      <c r="L27" s="7">
        <v>2125000</v>
      </c>
      <c r="M27" s="7"/>
      <c r="N27" s="7">
        <v>106000</v>
      </c>
      <c r="O27" s="7">
        <v>200000</v>
      </c>
      <c r="P27" s="7"/>
      <c r="Q27" s="7">
        <v>0</v>
      </c>
      <c r="R27" s="7">
        <v>0</v>
      </c>
      <c r="S27" s="7"/>
      <c r="T27" s="7">
        <v>0</v>
      </c>
      <c r="U27" s="17">
        <v>0</v>
      </c>
    </row>
    <row r="28" spans="1:21">
      <c r="A28" t="s">
        <v>22</v>
      </c>
      <c r="B28" s="10">
        <v>-485948.81974049564</v>
      </c>
      <c r="C28" s="7">
        <v>17869.070630143164</v>
      </c>
      <c r="D28" s="7">
        <v>0</v>
      </c>
      <c r="E28" s="7">
        <v>0</v>
      </c>
      <c r="F28" s="17">
        <f t="shared" si="0"/>
        <v>-468079.74911035248</v>
      </c>
      <c r="H28" s="23"/>
      <c r="I28" s="25"/>
      <c r="K28" s="10">
        <v>5200000</v>
      </c>
      <c r="L28" s="7">
        <v>6695134</v>
      </c>
      <c r="M28" s="7"/>
      <c r="N28" s="7">
        <v>750000</v>
      </c>
      <c r="O28" s="7">
        <v>0</v>
      </c>
      <c r="P28" s="7"/>
      <c r="Q28" s="7">
        <v>0</v>
      </c>
      <c r="R28" s="7">
        <v>0</v>
      </c>
      <c r="S28" s="7"/>
      <c r="T28" s="7">
        <v>0</v>
      </c>
      <c r="U28" s="17">
        <v>0</v>
      </c>
    </row>
    <row r="29" spans="1:21">
      <c r="A29" t="s">
        <v>23</v>
      </c>
      <c r="B29" s="10">
        <v>-89246.22433874337</v>
      </c>
      <c r="C29" s="7">
        <v>-9397.1647507054586</v>
      </c>
      <c r="D29" s="7">
        <v>0</v>
      </c>
      <c r="E29" s="7">
        <v>0</v>
      </c>
      <c r="F29" s="17">
        <f t="shared" si="0"/>
        <v>-98643.389089448829</v>
      </c>
      <c r="K29" s="10">
        <v>752000</v>
      </c>
      <c r="L29" s="7">
        <v>0</v>
      </c>
      <c r="M29" s="7"/>
      <c r="N29" s="7">
        <v>48000</v>
      </c>
      <c r="O29" s="7">
        <v>0</v>
      </c>
      <c r="P29" s="7"/>
      <c r="Q29" s="7">
        <v>0</v>
      </c>
      <c r="R29" s="7">
        <v>0</v>
      </c>
      <c r="S29" s="7"/>
      <c r="T29" s="7">
        <v>0</v>
      </c>
      <c r="U29" s="17">
        <v>0</v>
      </c>
    </row>
    <row r="30" spans="1:21">
      <c r="A30" t="s">
        <v>24</v>
      </c>
      <c r="B30" s="10">
        <v>17752.160012747627</v>
      </c>
      <c r="C30" s="7">
        <v>5826.2583167968987</v>
      </c>
      <c r="D30" s="7">
        <v>0</v>
      </c>
      <c r="E30" s="7">
        <v>0</v>
      </c>
      <c r="F30" s="17">
        <f t="shared" si="0"/>
        <v>23578.418329544525</v>
      </c>
      <c r="K30" s="10"/>
      <c r="L30" s="7"/>
      <c r="M30" s="7"/>
      <c r="N30" s="7"/>
      <c r="O30" s="7"/>
      <c r="P30" s="7"/>
      <c r="Q30" s="7"/>
      <c r="R30" s="7"/>
      <c r="S30" s="7"/>
      <c r="T30" s="7"/>
      <c r="U30" s="17"/>
    </row>
    <row r="31" spans="1:21">
      <c r="A31" t="s">
        <v>25</v>
      </c>
      <c r="B31" s="10">
        <v>-333583.33074709401</v>
      </c>
      <c r="C31" s="7">
        <v>-17818.653115420952</v>
      </c>
      <c r="D31" s="7">
        <v>0</v>
      </c>
      <c r="E31" s="7">
        <v>0</v>
      </c>
      <c r="F31" s="17">
        <f t="shared" si="0"/>
        <v>-351401.98386251496</v>
      </c>
      <c r="K31" s="10">
        <v>3236920</v>
      </c>
      <c r="L31" s="7">
        <v>0</v>
      </c>
      <c r="M31" s="7"/>
      <c r="N31" s="7">
        <v>263260</v>
      </c>
      <c r="O31" s="7">
        <v>0</v>
      </c>
      <c r="P31" s="7"/>
      <c r="Q31" s="7">
        <v>0</v>
      </c>
      <c r="R31" s="7">
        <v>0</v>
      </c>
      <c r="S31" s="7"/>
      <c r="T31" s="7">
        <v>0</v>
      </c>
      <c r="U31" s="17">
        <v>0</v>
      </c>
    </row>
    <row r="32" spans="1:21">
      <c r="A32" t="s">
        <v>26</v>
      </c>
      <c r="B32" s="10">
        <v>-192629.78091586893</v>
      </c>
      <c r="C32" s="7">
        <v>7929.6653065425053</v>
      </c>
      <c r="D32" s="7">
        <v>0</v>
      </c>
      <c r="E32" s="7">
        <v>0</v>
      </c>
      <c r="F32" s="17">
        <f t="shared" si="0"/>
        <v>-184700.11560932643</v>
      </c>
      <c r="K32" s="10">
        <v>1931899</v>
      </c>
      <c r="L32" s="7">
        <v>0</v>
      </c>
      <c r="M32" s="7"/>
      <c r="N32" s="7">
        <v>167986</v>
      </c>
      <c r="O32" s="7">
        <v>0</v>
      </c>
      <c r="P32" s="7"/>
      <c r="Q32" s="7">
        <v>0</v>
      </c>
      <c r="R32" s="7">
        <v>0</v>
      </c>
      <c r="S32" s="7"/>
      <c r="T32" s="7">
        <v>0</v>
      </c>
      <c r="U32" s="17">
        <v>0</v>
      </c>
    </row>
    <row r="33" spans="1:21">
      <c r="A33" t="s">
        <v>27</v>
      </c>
      <c r="B33" s="10">
        <v>-48778.551095579984</v>
      </c>
      <c r="C33" s="7">
        <v>23983.657259884654</v>
      </c>
      <c r="D33" s="7">
        <v>0</v>
      </c>
      <c r="E33" s="7">
        <v>0</v>
      </c>
      <c r="F33" s="17">
        <f t="shared" si="0"/>
        <v>-24794.893835695329</v>
      </c>
      <c r="K33" s="10">
        <v>983250</v>
      </c>
      <c r="L33" s="7">
        <v>0</v>
      </c>
      <c r="M33" s="7"/>
      <c r="N33" s="7">
        <v>51557</v>
      </c>
      <c r="O33" s="7">
        <v>0</v>
      </c>
      <c r="P33" s="7"/>
      <c r="Q33" s="7">
        <v>0</v>
      </c>
      <c r="R33" s="7">
        <v>0</v>
      </c>
      <c r="S33" s="7"/>
      <c r="T33" s="7">
        <v>0</v>
      </c>
      <c r="U33" s="17">
        <v>0</v>
      </c>
    </row>
    <row r="34" spans="1:21">
      <c r="A34" t="s">
        <v>28</v>
      </c>
      <c r="B34" s="10">
        <v>-65938.502718025818</v>
      </c>
      <c r="C34" s="7">
        <v>4782.4369440467599</v>
      </c>
      <c r="D34" s="7">
        <v>0</v>
      </c>
      <c r="E34" s="7">
        <v>0</v>
      </c>
      <c r="F34" s="17">
        <f t="shared" si="0"/>
        <v>-61156.065773979062</v>
      </c>
      <c r="K34" s="10">
        <v>874200</v>
      </c>
      <c r="L34" s="7">
        <v>0</v>
      </c>
      <c r="M34" s="7"/>
      <c r="N34" s="7">
        <v>28400</v>
      </c>
      <c r="O34" s="7">
        <v>0</v>
      </c>
      <c r="P34" s="7"/>
      <c r="Q34" s="7">
        <v>0</v>
      </c>
      <c r="R34" s="7">
        <v>0</v>
      </c>
      <c r="S34" s="7"/>
      <c r="T34" s="7">
        <v>0</v>
      </c>
      <c r="U34" s="17">
        <v>0</v>
      </c>
    </row>
    <row r="35" spans="1:21">
      <c r="A35" t="s">
        <v>29</v>
      </c>
      <c r="B35" s="10">
        <v>4907.0637113562552</v>
      </c>
      <c r="C35" s="7">
        <v>-838.73076741105342</v>
      </c>
      <c r="D35" s="7">
        <v>0</v>
      </c>
      <c r="E35" s="7">
        <v>0</v>
      </c>
      <c r="F35" s="17">
        <f t="shared" si="0"/>
        <v>4068.3329439452018</v>
      </c>
      <c r="K35" s="10">
        <v>200000</v>
      </c>
      <c r="L35" s="7">
        <v>0</v>
      </c>
      <c r="M35" s="7"/>
      <c r="N35" s="7">
        <v>5000</v>
      </c>
      <c r="O35" s="7">
        <v>0</v>
      </c>
      <c r="P35" s="7"/>
      <c r="Q35" s="7">
        <v>0</v>
      </c>
      <c r="R35" s="7">
        <v>0</v>
      </c>
      <c r="S35" s="7"/>
      <c r="T35" s="7">
        <v>0</v>
      </c>
      <c r="U35" s="17">
        <v>0</v>
      </c>
    </row>
    <row r="36" spans="1:21">
      <c r="A36" t="s">
        <v>30</v>
      </c>
      <c r="B36" s="10">
        <v>-88525.484325095778</v>
      </c>
      <c r="C36" s="7">
        <v>970.40021369533861</v>
      </c>
      <c r="D36" s="7">
        <v>0</v>
      </c>
      <c r="E36" s="7">
        <v>0</v>
      </c>
      <c r="F36" s="17">
        <f t="shared" si="0"/>
        <v>-87555.084111400443</v>
      </c>
      <c r="K36" s="10">
        <v>500000</v>
      </c>
      <c r="L36" s="7">
        <v>500000</v>
      </c>
      <c r="M36" s="7"/>
      <c r="N36" s="7">
        <v>0</v>
      </c>
      <c r="O36" s="7">
        <v>0</v>
      </c>
      <c r="P36" s="7"/>
      <c r="Q36" s="7">
        <v>0</v>
      </c>
      <c r="R36" s="7">
        <v>0</v>
      </c>
      <c r="S36" s="7"/>
      <c r="T36" s="7">
        <v>0</v>
      </c>
      <c r="U36" s="17">
        <v>0</v>
      </c>
    </row>
    <row r="37" spans="1:21">
      <c r="A37" t="s">
        <v>31</v>
      </c>
      <c r="B37" s="10">
        <v>-115868.66861721734</v>
      </c>
      <c r="C37" s="7">
        <v>-15294.905369421496</v>
      </c>
      <c r="D37" s="7">
        <v>0</v>
      </c>
      <c r="E37" s="7">
        <v>0</v>
      </c>
      <c r="F37" s="17">
        <f t="shared" si="0"/>
        <v>-131163.57398663883</v>
      </c>
      <c r="K37" s="10"/>
      <c r="L37" s="7"/>
      <c r="M37" s="7"/>
      <c r="N37" s="7"/>
      <c r="O37" s="7"/>
      <c r="P37" s="7"/>
      <c r="Q37" s="7"/>
      <c r="R37" s="7"/>
      <c r="S37" s="7"/>
      <c r="T37" s="7"/>
      <c r="U37" s="17"/>
    </row>
    <row r="38" spans="1:21">
      <c r="A38" t="s">
        <v>32</v>
      </c>
      <c r="B38" s="10">
        <v>62422</v>
      </c>
      <c r="C38" s="7">
        <v>0</v>
      </c>
      <c r="D38" s="7">
        <v>0</v>
      </c>
      <c r="E38" s="7">
        <v>0</v>
      </c>
      <c r="F38" s="17">
        <f t="shared" ref="F38:F58" si="1">SUM(B38:E38)</f>
        <v>62422</v>
      </c>
      <c r="K38" s="10"/>
      <c r="L38" s="7"/>
      <c r="M38" s="7"/>
      <c r="N38" s="7"/>
      <c r="O38" s="7"/>
      <c r="P38" s="7"/>
      <c r="Q38" s="7"/>
      <c r="R38" s="7"/>
      <c r="S38" s="7"/>
      <c r="T38" s="7"/>
      <c r="U38" s="17"/>
    </row>
    <row r="39" spans="1:21">
      <c r="A39" t="s">
        <v>33</v>
      </c>
      <c r="B39" s="10">
        <v>-649123.48958506342</v>
      </c>
      <c r="C39" s="7">
        <v>-27962.381478843919</v>
      </c>
      <c r="D39" s="7">
        <v>0</v>
      </c>
      <c r="E39" s="7">
        <v>0</v>
      </c>
      <c r="F39" s="17">
        <f t="shared" si="1"/>
        <v>-677085.8710639074</v>
      </c>
      <c r="K39" s="10">
        <v>3800000</v>
      </c>
      <c r="L39" s="7">
        <v>5462500</v>
      </c>
      <c r="M39" s="7"/>
      <c r="N39" s="7">
        <v>200000</v>
      </c>
      <c r="O39" s="7">
        <v>287500</v>
      </c>
      <c r="P39" s="7"/>
      <c r="Q39" s="7">
        <v>0</v>
      </c>
      <c r="R39" s="7">
        <v>0</v>
      </c>
      <c r="S39" s="7"/>
      <c r="T39" s="7">
        <v>0</v>
      </c>
      <c r="U39" s="17">
        <v>0</v>
      </c>
    </row>
    <row r="40" spans="1:21">
      <c r="A40" t="s">
        <v>34</v>
      </c>
      <c r="B40" s="10">
        <v>-231818.92847965285</v>
      </c>
      <c r="C40" s="7">
        <v>-532.07068312783667</v>
      </c>
      <c r="D40" s="7">
        <v>0</v>
      </c>
      <c r="E40" s="7">
        <v>0</v>
      </c>
      <c r="F40" s="17">
        <f t="shared" si="1"/>
        <v>-232350.9991627807</v>
      </c>
      <c r="K40" s="10">
        <v>1365200</v>
      </c>
      <c r="L40" s="7">
        <v>0</v>
      </c>
      <c r="M40" s="7"/>
      <c r="N40" s="7">
        <v>268100</v>
      </c>
      <c r="O40" s="7">
        <v>0</v>
      </c>
      <c r="P40" s="7"/>
      <c r="Q40" s="7">
        <v>0</v>
      </c>
      <c r="R40" s="7">
        <v>0</v>
      </c>
      <c r="S40" s="7"/>
      <c r="T40" s="7">
        <v>0</v>
      </c>
      <c r="U40" s="17">
        <v>0</v>
      </c>
    </row>
    <row r="41" spans="1:21">
      <c r="A41" t="s">
        <v>35</v>
      </c>
      <c r="B41" s="10">
        <v>-744233.02107110061</v>
      </c>
      <c r="C41" s="7">
        <v>11948.5569997516</v>
      </c>
      <c r="D41" s="7">
        <v>0</v>
      </c>
      <c r="E41" s="7">
        <v>0</v>
      </c>
      <c r="F41" s="17">
        <f t="shared" si="1"/>
        <v>-732284.46407134901</v>
      </c>
      <c r="K41" s="10">
        <v>4940000</v>
      </c>
      <c r="L41" s="7">
        <v>0</v>
      </c>
      <c r="M41" s="7"/>
      <c r="N41" s="7">
        <v>760000</v>
      </c>
      <c r="O41" s="7">
        <v>0</v>
      </c>
      <c r="P41" s="7"/>
      <c r="Q41" s="7">
        <v>0</v>
      </c>
      <c r="R41" s="7">
        <v>0</v>
      </c>
      <c r="S41" s="7"/>
      <c r="T41" s="7">
        <v>0</v>
      </c>
      <c r="U41" s="17">
        <v>0</v>
      </c>
    </row>
    <row r="42" spans="1:21">
      <c r="A42" t="s">
        <v>36</v>
      </c>
      <c r="B42" s="10">
        <v>-100280.30059244717</v>
      </c>
      <c r="C42" s="7">
        <v>6487.8906322286348</v>
      </c>
      <c r="D42" s="7">
        <v>0</v>
      </c>
      <c r="E42" s="7">
        <v>0</v>
      </c>
      <c r="F42" s="17">
        <f t="shared" si="1"/>
        <v>-93792.409960218531</v>
      </c>
      <c r="K42" s="10">
        <v>841750</v>
      </c>
      <c r="L42" s="7">
        <v>987350</v>
      </c>
      <c r="M42" s="7"/>
      <c r="N42" s="7">
        <v>83230</v>
      </c>
      <c r="O42" s="7">
        <v>97650</v>
      </c>
      <c r="P42" s="7"/>
      <c r="Q42" s="7">
        <v>0</v>
      </c>
      <c r="R42" s="7">
        <v>0</v>
      </c>
      <c r="S42" s="7"/>
      <c r="T42" s="7">
        <v>0</v>
      </c>
      <c r="U42" s="17">
        <v>0</v>
      </c>
    </row>
    <row r="43" spans="1:21">
      <c r="A43" t="s">
        <v>37</v>
      </c>
      <c r="B43" s="10">
        <v>-303138.73468807898</v>
      </c>
      <c r="C43" s="7">
        <v>9880.5626342997566</v>
      </c>
      <c r="D43" s="7">
        <v>0</v>
      </c>
      <c r="E43" s="7">
        <v>0</v>
      </c>
      <c r="F43" s="17">
        <f t="shared" si="1"/>
        <v>-293258.17205377924</v>
      </c>
      <c r="K43" s="10">
        <v>2658420</v>
      </c>
      <c r="L43" s="7">
        <v>0</v>
      </c>
      <c r="M43" s="7"/>
      <c r="N43" s="7">
        <v>51801</v>
      </c>
      <c r="O43" s="7">
        <v>0</v>
      </c>
      <c r="P43" s="7"/>
      <c r="Q43" s="7">
        <v>0</v>
      </c>
      <c r="R43" s="7">
        <v>0</v>
      </c>
      <c r="S43" s="7"/>
      <c r="T43" s="7">
        <v>0</v>
      </c>
      <c r="U43" s="17">
        <v>0</v>
      </c>
    </row>
    <row r="44" spans="1:21">
      <c r="A44" t="s">
        <v>38</v>
      </c>
      <c r="B44" s="10">
        <v>-347455.49379655067</v>
      </c>
      <c r="C44" s="7">
        <v>-15139.258527016267</v>
      </c>
      <c r="D44" s="7">
        <v>0</v>
      </c>
      <c r="E44" s="7">
        <v>0</v>
      </c>
      <c r="F44" s="17">
        <f t="shared" si="1"/>
        <v>-362594.75232356694</v>
      </c>
      <c r="K44" s="10">
        <v>3500000</v>
      </c>
      <c r="L44" s="7">
        <v>0</v>
      </c>
      <c r="M44" s="7"/>
      <c r="N44" s="7">
        <v>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-15512.358189229359</v>
      </c>
      <c r="C46" s="7">
        <v>20.521374032479798</v>
      </c>
      <c r="D46" s="7">
        <v>0</v>
      </c>
      <c r="E46" s="7">
        <v>0</v>
      </c>
      <c r="F46" s="17">
        <f t="shared" si="1"/>
        <v>-15491.836815196879</v>
      </c>
      <c r="K46" s="10">
        <v>115320</v>
      </c>
      <c r="L46" s="7">
        <v>0</v>
      </c>
      <c r="M46" s="7"/>
      <c r="N46" s="7">
        <v>8680</v>
      </c>
      <c r="O46" s="7">
        <v>0</v>
      </c>
      <c r="P46" s="7"/>
      <c r="Q46" s="7">
        <v>0</v>
      </c>
      <c r="R46" s="7">
        <v>0</v>
      </c>
      <c r="S46" s="7"/>
      <c r="T46" s="7">
        <v>0</v>
      </c>
      <c r="U46" s="17">
        <v>0</v>
      </c>
    </row>
    <row r="47" spans="1:21">
      <c r="A47" t="s">
        <v>41</v>
      </c>
      <c r="B47" s="10">
        <v>-111305.85487254546</v>
      </c>
      <c r="C47" s="7">
        <v>14049.547769370358</v>
      </c>
      <c r="D47" s="7">
        <v>0</v>
      </c>
      <c r="E47" s="7">
        <v>0</v>
      </c>
      <c r="F47" s="17">
        <f t="shared" si="1"/>
        <v>-97256.307103175102</v>
      </c>
      <c r="K47" s="10">
        <v>900000</v>
      </c>
      <c r="L47" s="7">
        <v>0</v>
      </c>
      <c r="M47" s="7"/>
      <c r="N47" s="7">
        <v>100000</v>
      </c>
      <c r="O47" s="7">
        <v>0</v>
      </c>
      <c r="P47" s="7"/>
      <c r="Q47" s="7">
        <v>0</v>
      </c>
      <c r="R47" s="7">
        <v>0</v>
      </c>
      <c r="S47" s="7"/>
      <c r="T47" s="7">
        <v>0</v>
      </c>
      <c r="U47" s="17">
        <v>0</v>
      </c>
    </row>
    <row r="48" spans="1:21">
      <c r="A48" t="s">
        <v>42</v>
      </c>
      <c r="B48" s="10">
        <v>-174157.2226663786</v>
      </c>
      <c r="C48" s="7">
        <v>10539.484665844822</v>
      </c>
      <c r="D48" s="7">
        <v>0</v>
      </c>
      <c r="E48" s="7">
        <v>0</v>
      </c>
      <c r="F48" s="17">
        <f t="shared" si="1"/>
        <v>-163617.73800053378</v>
      </c>
      <c r="K48" s="10">
        <v>1995000</v>
      </c>
      <c r="L48" s="7">
        <v>400000</v>
      </c>
      <c r="M48" s="7"/>
      <c r="N48" s="7">
        <v>289000</v>
      </c>
      <c r="O48" s="7">
        <v>0</v>
      </c>
      <c r="P48" s="7"/>
      <c r="Q48" s="7">
        <v>0</v>
      </c>
      <c r="R48" s="7">
        <v>0</v>
      </c>
      <c r="S48" s="7"/>
      <c r="T48" s="7">
        <v>0</v>
      </c>
      <c r="U48" s="17">
        <v>0</v>
      </c>
    </row>
    <row r="49" spans="1:21">
      <c r="A49" t="s">
        <v>43</v>
      </c>
      <c r="B49" s="10">
        <v>-293699.35116463434</v>
      </c>
      <c r="C49" s="7">
        <v>-30405.509588058572</v>
      </c>
      <c r="D49" s="7">
        <v>0</v>
      </c>
      <c r="E49" s="7">
        <v>0</v>
      </c>
      <c r="F49" s="17">
        <f t="shared" si="1"/>
        <v>-324104.86075269291</v>
      </c>
      <c r="K49" s="10">
        <v>4640000</v>
      </c>
      <c r="L49" s="7">
        <v>0</v>
      </c>
      <c r="M49" s="7"/>
      <c r="N49" s="7">
        <v>610000</v>
      </c>
      <c r="O49" s="7">
        <v>0</v>
      </c>
      <c r="P49" s="7"/>
      <c r="Q49" s="7">
        <v>0</v>
      </c>
      <c r="R49" s="7">
        <v>0</v>
      </c>
      <c r="S49" s="7"/>
      <c r="T49" s="7">
        <v>0</v>
      </c>
      <c r="U49" s="17">
        <v>0</v>
      </c>
    </row>
    <row r="50" spans="1:21">
      <c r="A50" t="s">
        <v>44</v>
      </c>
      <c r="B50" s="10">
        <v>-1241400.7242895961</v>
      </c>
      <c r="C50" s="7">
        <v>65483.977597067133</v>
      </c>
      <c r="D50" s="7">
        <v>0</v>
      </c>
      <c r="E50" s="7">
        <v>0</v>
      </c>
      <c r="F50" s="17">
        <f t="shared" si="1"/>
        <v>-1175916.7466925289</v>
      </c>
      <c r="K50" s="10">
        <v>11695474</v>
      </c>
      <c r="L50" s="7">
        <v>15038085.418199999</v>
      </c>
      <c r="M50" s="7"/>
      <c r="N50" s="7">
        <v>369492</v>
      </c>
      <c r="O50" s="7">
        <v>470126.74119999999</v>
      </c>
      <c r="P50" s="7"/>
      <c r="Q50" s="7">
        <v>3471</v>
      </c>
      <c r="R50" s="7">
        <v>4589.8405999999995</v>
      </c>
      <c r="S50" s="7"/>
      <c r="T50" s="7">
        <v>0</v>
      </c>
      <c r="U50" s="17">
        <v>0</v>
      </c>
    </row>
    <row r="51" spans="1:21">
      <c r="A51" t="s">
        <v>45</v>
      </c>
      <c r="B51" s="10">
        <v>-280961.99248517025</v>
      </c>
      <c r="C51" s="7">
        <v>2502.5808111616279</v>
      </c>
      <c r="D51" s="7">
        <v>0</v>
      </c>
      <c r="E51" s="7">
        <v>0</v>
      </c>
      <c r="F51" s="17">
        <f t="shared" si="1"/>
        <v>-278459.41167400865</v>
      </c>
      <c r="K51" s="10">
        <v>1305629</v>
      </c>
      <c r="L51" s="7">
        <v>1917485</v>
      </c>
      <c r="M51" s="7"/>
      <c r="N51" s="7">
        <v>49370</v>
      </c>
      <c r="O51" s="7">
        <v>72515</v>
      </c>
      <c r="P51" s="7"/>
      <c r="Q51" s="7">
        <v>0</v>
      </c>
      <c r="R51" s="7">
        <v>0</v>
      </c>
      <c r="S51" s="7"/>
      <c r="T51" s="7">
        <v>0</v>
      </c>
      <c r="U51" s="17">
        <v>0</v>
      </c>
    </row>
    <row r="52" spans="1:21">
      <c r="A52" t="s">
        <v>46</v>
      </c>
      <c r="B52" s="10">
        <v>91576.741689503717</v>
      </c>
      <c r="C52" s="7">
        <v>2960.9652712407433</v>
      </c>
      <c r="D52" s="7">
        <v>0</v>
      </c>
      <c r="E52" s="7">
        <v>0</v>
      </c>
      <c r="F52" s="17">
        <f t="shared" si="1"/>
        <v>94537.706960744457</v>
      </c>
      <c r="K52" s="10">
        <v>67000</v>
      </c>
      <c r="L52" s="7">
        <v>0</v>
      </c>
      <c r="M52" s="7"/>
      <c r="N52" s="7">
        <v>3000</v>
      </c>
      <c r="O52" s="7">
        <v>0</v>
      </c>
      <c r="P52" s="7"/>
      <c r="Q52" s="7">
        <v>0</v>
      </c>
      <c r="R52" s="7">
        <v>0</v>
      </c>
      <c r="S52" s="7"/>
      <c r="T52" s="7">
        <v>0</v>
      </c>
      <c r="U52" s="17">
        <v>0</v>
      </c>
    </row>
    <row r="53" spans="1:21">
      <c r="A53" t="s">
        <v>47</v>
      </c>
      <c r="B53" s="10">
        <v>-393756.10970679112</v>
      </c>
      <c r="C53" s="7">
        <v>-80358.752354478813</v>
      </c>
      <c r="D53" s="7">
        <v>0</v>
      </c>
      <c r="E53" s="7">
        <v>0</v>
      </c>
      <c r="F53" s="17">
        <f t="shared" si="1"/>
        <v>-474114.86206126993</v>
      </c>
      <c r="K53" s="10">
        <v>2275289</v>
      </c>
      <c r="L53" s="7">
        <v>2486497</v>
      </c>
      <c r="M53" s="7"/>
      <c r="N53" s="7">
        <v>225549</v>
      </c>
      <c r="O53" s="7">
        <v>26203</v>
      </c>
      <c r="P53" s="7"/>
      <c r="Q53" s="7">
        <v>38720</v>
      </c>
      <c r="R53" s="7">
        <v>37000</v>
      </c>
      <c r="S53" s="7"/>
      <c r="T53" s="7">
        <v>0</v>
      </c>
      <c r="U53" s="17">
        <v>0</v>
      </c>
    </row>
    <row r="54" spans="1:21">
      <c r="A54" t="s">
        <v>48</v>
      </c>
      <c r="B54" s="10">
        <v>-675809.01711377036</v>
      </c>
      <c r="C54" s="7">
        <v>25776.730301720381</v>
      </c>
      <c r="D54" s="7">
        <v>0</v>
      </c>
      <c r="E54" s="7">
        <v>0</v>
      </c>
      <c r="F54" s="17">
        <f t="shared" si="1"/>
        <v>-650032.28681205004</v>
      </c>
      <c r="K54" s="10">
        <v>8284000</v>
      </c>
      <c r="L54" s="7">
        <v>8100000</v>
      </c>
      <c r="M54" s="7"/>
      <c r="N54" s="7">
        <v>385000</v>
      </c>
      <c r="O54" s="7">
        <v>0</v>
      </c>
      <c r="P54" s="7"/>
      <c r="Q54" s="7">
        <v>0</v>
      </c>
      <c r="R54" s="7">
        <v>0</v>
      </c>
      <c r="S54" s="7"/>
      <c r="T54" s="7">
        <v>0</v>
      </c>
      <c r="U54" s="17">
        <v>0</v>
      </c>
    </row>
    <row r="55" spans="1:21">
      <c r="A55" t="s">
        <v>49</v>
      </c>
      <c r="B55" s="10">
        <v>-166673.0309092924</v>
      </c>
      <c r="C55" s="7">
        <v>7401.9066536944592</v>
      </c>
      <c r="D55" s="7">
        <v>0</v>
      </c>
      <c r="E55" s="7">
        <v>0</v>
      </c>
      <c r="F55" s="17">
        <f t="shared" si="1"/>
        <v>-159271.12425559794</v>
      </c>
      <c r="K55" s="10">
        <v>1941321</v>
      </c>
      <c r="L55" s="7">
        <v>2453052</v>
      </c>
      <c r="M55" s="7"/>
      <c r="N55" s="7">
        <v>293679</v>
      </c>
      <c r="O55" s="7">
        <v>342842</v>
      </c>
      <c r="P55" s="7"/>
      <c r="Q55" s="7">
        <v>0</v>
      </c>
      <c r="R55" s="7">
        <v>26</v>
      </c>
      <c r="S55" s="7"/>
      <c r="T55" s="7">
        <v>0</v>
      </c>
      <c r="U55" s="17">
        <v>0</v>
      </c>
    </row>
    <row r="56" spans="1:21">
      <c r="A56" t="s">
        <v>50</v>
      </c>
      <c r="B56" s="10">
        <v>-221889.39361160807</v>
      </c>
      <c r="C56" s="7">
        <v>-2562.5817237327283</v>
      </c>
      <c r="D56" s="7">
        <v>0</v>
      </c>
      <c r="E56" s="7">
        <v>0</v>
      </c>
      <c r="F56" s="17">
        <f t="shared" si="1"/>
        <v>-224451.9753353408</v>
      </c>
      <c r="K56" s="10"/>
      <c r="L56" s="7"/>
      <c r="M56" s="7"/>
      <c r="N56" s="7"/>
      <c r="O56" s="7"/>
      <c r="P56" s="7"/>
      <c r="Q56" s="7"/>
      <c r="R56" s="7"/>
      <c r="S56" s="7"/>
      <c r="T56" s="7"/>
      <c r="U56" s="17"/>
    </row>
    <row r="57" spans="1:21">
      <c r="A57" t="s">
        <v>51</v>
      </c>
      <c r="B57" s="10">
        <v>-20488.224509077438</v>
      </c>
      <c r="C57" s="7">
        <v>-9932.7148387449124</v>
      </c>
      <c r="D57" s="7">
        <v>0</v>
      </c>
      <c r="E57" s="7">
        <v>0</v>
      </c>
      <c r="F57" s="17">
        <f t="shared" si="1"/>
        <v>-30420.93934782235</v>
      </c>
      <c r="K57" s="10">
        <v>182226</v>
      </c>
      <c r="L57" s="7">
        <v>282636</v>
      </c>
      <c r="M57" s="7"/>
      <c r="N57" s="7">
        <v>67454</v>
      </c>
      <c r="O57" s="7">
        <v>104537</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-12573200.301395107</v>
      </c>
      <c r="C60" s="7">
        <f>SUM(C6:C58)</f>
        <v>24428.301895116878</v>
      </c>
      <c r="D60" s="7">
        <f>SUM(D6:D58)</f>
        <v>0</v>
      </c>
      <c r="E60" s="7">
        <f>SUM(E6:E58)</f>
        <v>0</v>
      </c>
      <c r="F60" s="17">
        <f>SUM(F6:F58)</f>
        <v>-12548771.99949999</v>
      </c>
      <c r="K60" s="10">
        <f>SUM(K6:K58)</f>
        <v>122437040</v>
      </c>
      <c r="L60" s="7">
        <f>SUM(L6:L58)</f>
        <v>92956402.418200001</v>
      </c>
      <c r="M60" s="7"/>
      <c r="N60" s="7">
        <f>SUM(N6:N58)</f>
        <v>13028405</v>
      </c>
      <c r="O60" s="7">
        <f>SUM(O6:O58)</f>
        <v>7287007.0312000001</v>
      </c>
      <c r="P60" s="7"/>
      <c r="Q60" s="7">
        <f>SUM(Q6:Q58)</f>
        <v>141544</v>
      </c>
      <c r="R60" s="7">
        <f>SUM(R6:R58)</f>
        <v>161507.8406</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Italic"Kentucky Central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1854.6015821587298</v>
      </c>
      <c r="E6" s="7">
        <v>0</v>
      </c>
      <c r="F6" s="17">
        <f t="shared" ref="F6:F37" si="0">SUM(B6:E6)</f>
        <v>1854.6015821587298</v>
      </c>
      <c r="K6" s="10"/>
      <c r="L6" s="7"/>
      <c r="M6" s="7"/>
      <c r="N6" s="7"/>
      <c r="O6" s="7"/>
      <c r="P6" s="7"/>
      <c r="Q6" s="7"/>
      <c r="R6" s="7"/>
      <c r="S6" s="7"/>
      <c r="T6" s="7"/>
      <c r="U6" s="17"/>
    </row>
    <row r="7" spans="1:21">
      <c r="A7" t="s">
        <v>1</v>
      </c>
      <c r="B7" s="10">
        <v>0</v>
      </c>
      <c r="C7" s="7">
        <v>0</v>
      </c>
      <c r="D7" s="7">
        <v>20.860000000000014</v>
      </c>
      <c r="E7" s="7">
        <v>0</v>
      </c>
      <c r="F7" s="17">
        <f t="shared" si="0"/>
        <v>20.860000000000014</v>
      </c>
      <c r="H7" s="22"/>
      <c r="I7" s="24"/>
      <c r="K7" s="10"/>
      <c r="L7" s="7"/>
      <c r="M7" s="7"/>
      <c r="N7" s="7"/>
      <c r="O7" s="7"/>
      <c r="P7" s="7"/>
      <c r="Q7" s="7"/>
      <c r="R7" s="7"/>
      <c r="S7" s="7"/>
      <c r="T7" s="7"/>
      <c r="U7" s="17"/>
    </row>
    <row r="8" spans="1:21">
      <c r="A8" t="s">
        <v>2</v>
      </c>
      <c r="B8" s="10">
        <v>0</v>
      </c>
      <c r="C8" s="7">
        <v>0</v>
      </c>
      <c r="D8" s="7">
        <v>25098.450915707799</v>
      </c>
      <c r="E8" s="7">
        <v>0</v>
      </c>
      <c r="F8" s="17">
        <f t="shared" si="0"/>
        <v>25098.450915707799</v>
      </c>
      <c r="H8" s="4" t="s">
        <v>64</v>
      </c>
      <c r="I8" s="13"/>
      <c r="K8" s="10"/>
      <c r="L8" s="7"/>
      <c r="M8" s="7"/>
      <c r="N8" s="7"/>
      <c r="O8" s="7"/>
      <c r="P8" s="7"/>
      <c r="Q8" s="7"/>
      <c r="R8" s="7"/>
      <c r="S8" s="7"/>
      <c r="T8" s="7"/>
      <c r="U8" s="17"/>
    </row>
    <row r="9" spans="1:21">
      <c r="A9" t="s">
        <v>3</v>
      </c>
      <c r="B9" s="10">
        <v>0</v>
      </c>
      <c r="C9" s="7">
        <v>0</v>
      </c>
      <c r="D9" s="7">
        <v>56.85855396247598</v>
      </c>
      <c r="E9" s="7">
        <v>0</v>
      </c>
      <c r="F9" s="17">
        <f t="shared" si="0"/>
        <v>56.85855396247598</v>
      </c>
      <c r="H9" s="4"/>
      <c r="I9" s="13"/>
      <c r="K9" s="10"/>
      <c r="L9" s="7"/>
      <c r="M9" s="7"/>
      <c r="N9" s="7"/>
      <c r="O9" s="7"/>
      <c r="P9" s="7"/>
      <c r="Q9" s="7"/>
      <c r="R9" s="7"/>
      <c r="S9" s="7"/>
      <c r="T9" s="7"/>
      <c r="U9" s="17"/>
    </row>
    <row r="10" spans="1:21">
      <c r="A10" t="s">
        <v>4</v>
      </c>
      <c r="B10" s="10">
        <v>0</v>
      </c>
      <c r="C10" s="7">
        <v>0</v>
      </c>
      <c r="D10" s="7">
        <v>6197.6656698414445</v>
      </c>
      <c r="E10" s="7">
        <v>0</v>
      </c>
      <c r="F10" s="17">
        <f t="shared" si="0"/>
        <v>6197.6656698414445</v>
      </c>
      <c r="H10" s="4" t="s">
        <v>65</v>
      </c>
      <c r="I10" s="14">
        <v>2633693.4740727684</v>
      </c>
      <c r="K10" s="10">
        <v>0</v>
      </c>
      <c r="L10" s="7">
        <v>0</v>
      </c>
      <c r="M10" s="7"/>
      <c r="N10" s="7">
        <v>0</v>
      </c>
      <c r="O10" s="7">
        <v>0</v>
      </c>
      <c r="P10" s="7"/>
      <c r="Q10" s="7">
        <v>150000</v>
      </c>
      <c r="R10" s="7">
        <v>0</v>
      </c>
      <c r="S10" s="7"/>
      <c r="T10" s="7">
        <v>0</v>
      </c>
      <c r="U10" s="17">
        <v>0</v>
      </c>
    </row>
    <row r="11" spans="1:21">
      <c r="A11" t="s">
        <v>5</v>
      </c>
      <c r="B11" s="10">
        <v>0</v>
      </c>
      <c r="C11" s="7">
        <v>0</v>
      </c>
      <c r="D11" s="7">
        <v>4289.1236512345058</v>
      </c>
      <c r="E11" s="7">
        <v>0</v>
      </c>
      <c r="F11" s="17">
        <f t="shared" si="0"/>
        <v>4289.1236512345058</v>
      </c>
      <c r="H11" s="4"/>
      <c r="I11" s="14"/>
      <c r="K11" s="10">
        <v>0</v>
      </c>
      <c r="L11" s="7">
        <v>0</v>
      </c>
      <c r="M11" s="7"/>
      <c r="N11" s="7">
        <v>0</v>
      </c>
      <c r="O11" s="7">
        <v>0</v>
      </c>
      <c r="P11" s="7"/>
      <c r="Q11" s="7">
        <v>84325</v>
      </c>
      <c r="R11" s="7">
        <v>0</v>
      </c>
      <c r="S11" s="7"/>
      <c r="T11" s="7">
        <v>0</v>
      </c>
      <c r="U11" s="17">
        <v>0</v>
      </c>
    </row>
    <row r="12" spans="1:21">
      <c r="A12" t="s">
        <v>6</v>
      </c>
      <c r="B12" s="10">
        <v>0</v>
      </c>
      <c r="C12" s="7">
        <v>0</v>
      </c>
      <c r="D12" s="7">
        <v>3774.2872189979389</v>
      </c>
      <c r="E12" s="7">
        <v>0</v>
      </c>
      <c r="F12" s="17">
        <f t="shared" si="0"/>
        <v>3774.2872189979389</v>
      </c>
      <c r="H12" s="4" t="s">
        <v>66</v>
      </c>
      <c r="I12" s="14"/>
      <c r="K12" s="10"/>
      <c r="L12" s="7"/>
      <c r="M12" s="7"/>
      <c r="N12" s="7"/>
      <c r="O12" s="7"/>
      <c r="P12" s="7"/>
      <c r="Q12" s="7"/>
      <c r="R12" s="7"/>
      <c r="S12" s="7"/>
      <c r="T12" s="7"/>
      <c r="U12" s="17"/>
    </row>
    <row r="13" spans="1:21">
      <c r="A13" t="s">
        <v>7</v>
      </c>
      <c r="B13" s="10">
        <v>0</v>
      </c>
      <c r="C13" s="7">
        <v>0</v>
      </c>
      <c r="D13" s="7">
        <v>-0.22000000000116415</v>
      </c>
      <c r="E13" s="7">
        <v>0</v>
      </c>
      <c r="F13" s="17">
        <f t="shared" si="0"/>
        <v>-0.22000000000116415</v>
      </c>
      <c r="H13" s="4" t="s">
        <v>67</v>
      </c>
      <c r="I13" s="14">
        <v>2633693.4740727684</v>
      </c>
      <c r="K13" s="10"/>
      <c r="L13" s="7"/>
      <c r="M13" s="7"/>
      <c r="N13" s="7"/>
      <c r="O13" s="7"/>
      <c r="P13" s="7"/>
      <c r="Q13" s="7"/>
      <c r="R13" s="7"/>
      <c r="S13" s="7"/>
      <c r="T13" s="7"/>
      <c r="U13" s="17"/>
    </row>
    <row r="14" spans="1:21">
      <c r="A14" t="s">
        <v>8</v>
      </c>
      <c r="B14" s="10">
        <v>0</v>
      </c>
      <c r="C14" s="7">
        <v>0</v>
      </c>
      <c r="D14" s="7">
        <v>5.2579299373754793</v>
      </c>
      <c r="E14" s="7">
        <v>0</v>
      </c>
      <c r="F14" s="17">
        <f t="shared" si="0"/>
        <v>5.2579299373754793</v>
      </c>
      <c r="H14" s="4" t="s">
        <v>68</v>
      </c>
      <c r="I14" s="14">
        <v>1250118.9409999999</v>
      </c>
      <c r="K14" s="10"/>
      <c r="L14" s="7"/>
      <c r="M14" s="7"/>
      <c r="N14" s="7"/>
      <c r="O14" s="7"/>
      <c r="P14" s="7"/>
      <c r="Q14" s="7"/>
      <c r="R14" s="7"/>
      <c r="S14" s="7"/>
      <c r="T14" s="7"/>
      <c r="U14" s="17"/>
    </row>
    <row r="15" spans="1:21">
      <c r="A15" t="s">
        <v>9</v>
      </c>
      <c r="B15" s="10">
        <v>0</v>
      </c>
      <c r="C15" s="7">
        <v>0</v>
      </c>
      <c r="D15" s="7">
        <v>9915.3043225404399</v>
      </c>
      <c r="E15" s="7">
        <v>0</v>
      </c>
      <c r="F15" s="17">
        <f t="shared" si="0"/>
        <v>9915.3043225404399</v>
      </c>
      <c r="H15" s="4" t="s">
        <v>69</v>
      </c>
      <c r="I15" s="14">
        <v>723756.68252790871</v>
      </c>
      <c r="K15" s="10"/>
      <c r="L15" s="7"/>
      <c r="M15" s="7"/>
      <c r="N15" s="7"/>
      <c r="O15" s="7"/>
      <c r="P15" s="7"/>
      <c r="Q15" s="7"/>
      <c r="R15" s="7"/>
      <c r="S15" s="7"/>
      <c r="T15" s="7"/>
      <c r="U15" s="17"/>
    </row>
    <row r="16" spans="1:21">
      <c r="A16" t="s">
        <v>10</v>
      </c>
      <c r="B16" s="10">
        <v>0</v>
      </c>
      <c r="C16" s="7">
        <v>0</v>
      </c>
      <c r="D16" s="7">
        <v>86567.191514185746</v>
      </c>
      <c r="E16" s="7">
        <v>0</v>
      </c>
      <c r="F16" s="17">
        <f t="shared" si="0"/>
        <v>86567.191514185746</v>
      </c>
      <c r="H16" s="4" t="s">
        <v>70</v>
      </c>
      <c r="I16" s="14">
        <v>0</v>
      </c>
      <c r="K16" s="10"/>
      <c r="L16" s="7"/>
      <c r="M16" s="7"/>
      <c r="N16" s="7"/>
      <c r="O16" s="7"/>
      <c r="P16" s="7"/>
      <c r="Q16" s="7"/>
      <c r="R16" s="7"/>
      <c r="S16" s="7"/>
      <c r="T16" s="7"/>
      <c r="U16" s="17"/>
    </row>
    <row r="17" spans="1:21">
      <c r="A17" t="s">
        <v>11</v>
      </c>
      <c r="B17" s="10">
        <v>0</v>
      </c>
      <c r="C17" s="7">
        <v>0</v>
      </c>
      <c r="D17" s="7">
        <v>6471.0615535782854</v>
      </c>
      <c r="E17" s="7">
        <v>0</v>
      </c>
      <c r="F17" s="17">
        <f t="shared" si="0"/>
        <v>6471.0615535782854</v>
      </c>
      <c r="H17" s="4"/>
      <c r="I17" s="14"/>
      <c r="K17" s="10"/>
      <c r="L17" s="7"/>
      <c r="M17" s="7"/>
      <c r="N17" s="7"/>
      <c r="O17" s="7"/>
      <c r="P17" s="7"/>
      <c r="Q17" s="7"/>
      <c r="R17" s="7"/>
      <c r="S17" s="7"/>
      <c r="T17" s="7"/>
      <c r="U17" s="17"/>
    </row>
    <row r="18" spans="1:21">
      <c r="A18" t="s">
        <v>12</v>
      </c>
      <c r="B18" s="10">
        <v>0</v>
      </c>
      <c r="C18" s="7">
        <v>0</v>
      </c>
      <c r="D18" s="7">
        <v>-69156.948332989559</v>
      </c>
      <c r="E18" s="7">
        <v>0</v>
      </c>
      <c r="F18" s="17">
        <f t="shared" si="0"/>
        <v>-69156.948332989559</v>
      </c>
      <c r="H18" s="4" t="s">
        <v>71</v>
      </c>
      <c r="I18" s="14"/>
      <c r="K18" s="10"/>
      <c r="L18" s="7"/>
      <c r="M18" s="7"/>
      <c r="N18" s="7"/>
      <c r="O18" s="7"/>
      <c r="P18" s="7"/>
      <c r="Q18" s="7"/>
      <c r="R18" s="7"/>
      <c r="S18" s="7"/>
      <c r="T18" s="7"/>
      <c r="U18" s="17"/>
    </row>
    <row r="19" spans="1:21">
      <c r="A19" t="s">
        <v>13</v>
      </c>
      <c r="B19" s="10">
        <v>0</v>
      </c>
      <c r="C19" s="7">
        <v>0</v>
      </c>
      <c r="D19" s="7">
        <v>2077.2953987851943</v>
      </c>
      <c r="E19" s="7">
        <v>0</v>
      </c>
      <c r="F19" s="17">
        <f t="shared" si="0"/>
        <v>2077.2953987851943</v>
      </c>
      <c r="H19" s="4" t="s">
        <v>72</v>
      </c>
      <c r="I19" s="14">
        <v>0</v>
      </c>
      <c r="K19" s="10"/>
      <c r="L19" s="7"/>
      <c r="M19" s="7"/>
      <c r="N19" s="7"/>
      <c r="O19" s="7"/>
      <c r="P19" s="7"/>
      <c r="Q19" s="7"/>
      <c r="R19" s="7"/>
      <c r="S19" s="7"/>
      <c r="T19" s="7"/>
      <c r="U19" s="17"/>
    </row>
    <row r="20" spans="1:21">
      <c r="A20" t="s">
        <v>14</v>
      </c>
      <c r="B20" s="10">
        <v>0</v>
      </c>
      <c r="C20" s="7">
        <v>0</v>
      </c>
      <c r="D20" s="7">
        <v>1028.3138164269549</v>
      </c>
      <c r="E20" s="7">
        <v>0</v>
      </c>
      <c r="F20" s="17">
        <f t="shared" si="0"/>
        <v>1028.3138164269549</v>
      </c>
      <c r="H20" s="4" t="s">
        <v>73</v>
      </c>
      <c r="I20" s="14">
        <v>2633693.4740727684</v>
      </c>
      <c r="K20" s="10"/>
      <c r="L20" s="7"/>
      <c r="M20" s="7"/>
      <c r="N20" s="7"/>
      <c r="O20" s="7"/>
      <c r="P20" s="7"/>
      <c r="Q20" s="7"/>
      <c r="R20" s="7"/>
      <c r="S20" s="7"/>
      <c r="T20" s="7"/>
      <c r="U20" s="17"/>
    </row>
    <row r="21" spans="1:21">
      <c r="A21" t="s">
        <v>15</v>
      </c>
      <c r="B21" s="10">
        <v>0</v>
      </c>
      <c r="C21" s="7">
        <v>0</v>
      </c>
      <c r="D21" s="7">
        <v>5.6463763590863891</v>
      </c>
      <c r="E21" s="7">
        <v>0</v>
      </c>
      <c r="F21" s="17">
        <f t="shared" si="0"/>
        <v>5.6463763590863891</v>
      </c>
      <c r="H21" s="4" t="s">
        <v>74</v>
      </c>
      <c r="I21" s="14"/>
      <c r="K21" s="10"/>
      <c r="L21" s="7"/>
      <c r="M21" s="7"/>
      <c r="N21" s="7"/>
      <c r="O21" s="7"/>
      <c r="P21" s="7"/>
      <c r="Q21" s="7"/>
      <c r="R21" s="7"/>
      <c r="S21" s="7"/>
      <c r="T21" s="7"/>
      <c r="U21" s="17"/>
    </row>
    <row r="22" spans="1:21">
      <c r="A22" t="s">
        <v>16</v>
      </c>
      <c r="B22" s="10">
        <v>0</v>
      </c>
      <c r="C22" s="7">
        <v>0</v>
      </c>
      <c r="D22" s="7">
        <v>11289.372007603437</v>
      </c>
      <c r="E22" s="7">
        <v>0</v>
      </c>
      <c r="F22" s="17">
        <f t="shared" si="0"/>
        <v>11289.372007603437</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2125.0882266480767</v>
      </c>
      <c r="E24" s="7">
        <v>0</v>
      </c>
      <c r="F24" s="17">
        <f t="shared" si="0"/>
        <v>2125.0882266480767</v>
      </c>
      <c r="H24" s="4" t="s">
        <v>77</v>
      </c>
      <c r="I24" s="14">
        <v>3714766.8059999999</v>
      </c>
      <c r="K24" s="10"/>
      <c r="L24" s="7"/>
      <c r="M24" s="7"/>
      <c r="N24" s="7"/>
      <c r="O24" s="7"/>
      <c r="P24" s="7"/>
      <c r="Q24" s="7"/>
      <c r="R24" s="7"/>
      <c r="S24" s="7"/>
      <c r="T24" s="7"/>
      <c r="U24" s="17"/>
    </row>
    <row r="25" spans="1:21">
      <c r="A25" t="s">
        <v>19</v>
      </c>
      <c r="B25" s="10">
        <v>0</v>
      </c>
      <c r="C25" s="7">
        <v>0</v>
      </c>
      <c r="D25" s="7">
        <v>-0.17998379540676979</v>
      </c>
      <c r="E25" s="7">
        <v>0</v>
      </c>
      <c r="F25" s="17">
        <f t="shared" si="0"/>
        <v>-0.17998379540676979</v>
      </c>
      <c r="H25" s="4"/>
      <c r="I25" s="14"/>
      <c r="K25" s="10"/>
      <c r="L25" s="7"/>
      <c r="M25" s="7"/>
      <c r="N25" s="7"/>
      <c r="O25" s="7"/>
      <c r="P25" s="7"/>
      <c r="Q25" s="7"/>
      <c r="R25" s="7"/>
      <c r="S25" s="7"/>
      <c r="T25" s="7"/>
      <c r="U25" s="17"/>
    </row>
    <row r="26" spans="1:21">
      <c r="A26" t="s">
        <v>20</v>
      </c>
      <c r="B26" s="10">
        <v>0</v>
      </c>
      <c r="C26" s="7">
        <v>0</v>
      </c>
      <c r="D26" s="7">
        <v>242.98213164532899</v>
      </c>
      <c r="E26" s="7">
        <v>0</v>
      </c>
      <c r="F26" s="17">
        <f t="shared" si="0"/>
        <v>242.98213164532899</v>
      </c>
      <c r="H26" s="4" t="s">
        <v>78</v>
      </c>
      <c r="I26" s="14">
        <f>SUM(I10:I16)-SUM(I19:I24)</f>
        <v>892802.29160067718</v>
      </c>
      <c r="K26" s="10"/>
      <c r="L26" s="7"/>
      <c r="M26" s="7"/>
      <c r="N26" s="7"/>
      <c r="O26" s="7"/>
      <c r="P26" s="7"/>
      <c r="Q26" s="7"/>
      <c r="R26" s="7"/>
      <c r="S26" s="7"/>
      <c r="T26" s="7"/>
      <c r="U26" s="17"/>
    </row>
    <row r="27" spans="1:21">
      <c r="A27" t="s">
        <v>21</v>
      </c>
      <c r="B27" s="10">
        <v>0</v>
      </c>
      <c r="C27" s="7">
        <v>0</v>
      </c>
      <c r="D27" s="7">
        <v>31832.715518431505</v>
      </c>
      <c r="E27" s="7">
        <v>0</v>
      </c>
      <c r="F27" s="17">
        <f t="shared" si="0"/>
        <v>31832.715518431505</v>
      </c>
      <c r="H27" s="4" t="s">
        <v>79</v>
      </c>
      <c r="I27" s="14">
        <f>+F60</f>
        <v>892802.29160067695</v>
      </c>
      <c r="K27" s="10"/>
      <c r="L27" s="7"/>
      <c r="M27" s="7"/>
      <c r="N27" s="7"/>
      <c r="O27" s="7"/>
      <c r="P27" s="7"/>
      <c r="Q27" s="7"/>
      <c r="R27" s="7"/>
      <c r="S27" s="7"/>
      <c r="T27" s="7"/>
      <c r="U27" s="17"/>
    </row>
    <row r="28" spans="1:21">
      <c r="A28" t="s">
        <v>22</v>
      </c>
      <c r="B28" s="10">
        <v>0</v>
      </c>
      <c r="C28" s="7">
        <v>0</v>
      </c>
      <c r="D28" s="7">
        <v>16524.060229816561</v>
      </c>
      <c r="E28" s="7">
        <v>0</v>
      </c>
      <c r="F28" s="17">
        <f t="shared" si="0"/>
        <v>16524.060229816561</v>
      </c>
      <c r="H28" s="23"/>
      <c r="I28" s="25"/>
      <c r="K28" s="10"/>
      <c r="L28" s="7"/>
      <c r="M28" s="7"/>
      <c r="N28" s="7"/>
      <c r="O28" s="7"/>
      <c r="P28" s="7"/>
      <c r="Q28" s="7"/>
      <c r="R28" s="7"/>
      <c r="S28" s="7"/>
      <c r="T28" s="7"/>
      <c r="U28" s="17"/>
    </row>
    <row r="29" spans="1:21">
      <c r="A29" t="s">
        <v>23</v>
      </c>
      <c r="B29" s="10">
        <v>0</v>
      </c>
      <c r="C29" s="7">
        <v>0</v>
      </c>
      <c r="D29" s="7">
        <v>27.149212162866206</v>
      </c>
      <c r="E29" s="7">
        <v>0</v>
      </c>
      <c r="F29" s="17">
        <f t="shared" si="0"/>
        <v>27.149212162866206</v>
      </c>
      <c r="K29" s="10"/>
      <c r="L29" s="7"/>
      <c r="M29" s="7"/>
      <c r="N29" s="7"/>
      <c r="O29" s="7"/>
      <c r="P29" s="7"/>
      <c r="Q29" s="7"/>
      <c r="R29" s="7"/>
      <c r="S29" s="7"/>
      <c r="T29" s="7"/>
      <c r="U29" s="17"/>
    </row>
    <row r="30" spans="1:21">
      <c r="A30" t="s">
        <v>24</v>
      </c>
      <c r="B30" s="10">
        <v>0</v>
      </c>
      <c r="C30" s="7">
        <v>0</v>
      </c>
      <c r="D30" s="7">
        <v>1291.0829533874639</v>
      </c>
      <c r="E30" s="7">
        <v>0</v>
      </c>
      <c r="F30" s="17">
        <f t="shared" si="0"/>
        <v>1291.0829533874639</v>
      </c>
      <c r="K30" s="10"/>
      <c r="L30" s="7"/>
      <c r="M30" s="7"/>
      <c r="N30" s="7"/>
      <c r="O30" s="7"/>
      <c r="P30" s="7"/>
      <c r="Q30" s="7"/>
      <c r="R30" s="7"/>
      <c r="S30" s="7"/>
      <c r="T30" s="7"/>
      <c r="U30" s="17"/>
    </row>
    <row r="31" spans="1:21">
      <c r="A31" t="s">
        <v>25</v>
      </c>
      <c r="B31" s="10">
        <v>0</v>
      </c>
      <c r="C31" s="7">
        <v>0</v>
      </c>
      <c r="D31" s="7">
        <v>4157.8158942336668</v>
      </c>
      <c r="E31" s="7">
        <v>0</v>
      </c>
      <c r="F31" s="17">
        <f t="shared" si="0"/>
        <v>4157.8158942336668</v>
      </c>
      <c r="K31" s="10"/>
      <c r="L31" s="7"/>
      <c r="M31" s="7"/>
      <c r="N31" s="7"/>
      <c r="O31" s="7"/>
      <c r="P31" s="7"/>
      <c r="Q31" s="7"/>
      <c r="R31" s="7"/>
      <c r="S31" s="7"/>
      <c r="T31" s="7"/>
      <c r="U31" s="17"/>
    </row>
    <row r="32" spans="1:21">
      <c r="A32" t="s">
        <v>26</v>
      </c>
      <c r="B32" s="10">
        <v>0</v>
      </c>
      <c r="C32" s="7">
        <v>0</v>
      </c>
      <c r="D32" s="7">
        <v>21700.386980943927</v>
      </c>
      <c r="E32" s="7">
        <v>0</v>
      </c>
      <c r="F32" s="17">
        <f t="shared" si="0"/>
        <v>21700.386980943927</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366.18776995408462</v>
      </c>
      <c r="E34" s="7">
        <v>0</v>
      </c>
      <c r="F34" s="17">
        <f t="shared" si="0"/>
        <v>366.18776995408462</v>
      </c>
      <c r="K34" s="10"/>
      <c r="L34" s="7"/>
      <c r="M34" s="7"/>
      <c r="N34" s="7"/>
      <c r="O34" s="7"/>
      <c r="P34" s="7"/>
      <c r="Q34" s="7"/>
      <c r="R34" s="7"/>
      <c r="S34" s="7"/>
      <c r="T34" s="7"/>
      <c r="U34" s="17"/>
    </row>
    <row r="35" spans="1:21">
      <c r="A35" t="s">
        <v>29</v>
      </c>
      <c r="B35" s="10">
        <v>0</v>
      </c>
      <c r="C35" s="7">
        <v>0</v>
      </c>
      <c r="D35" s="7">
        <v>-0.1299999999901047</v>
      </c>
      <c r="E35" s="7">
        <v>0</v>
      </c>
      <c r="F35" s="17">
        <f t="shared" si="0"/>
        <v>-0.1299999999901047</v>
      </c>
      <c r="K35" s="10"/>
      <c r="L35" s="7"/>
      <c r="M35" s="7"/>
      <c r="N35" s="7"/>
      <c r="O35" s="7"/>
      <c r="P35" s="7"/>
      <c r="Q35" s="7"/>
      <c r="R35" s="7"/>
      <c r="S35" s="7"/>
      <c r="T35" s="7"/>
      <c r="U35" s="17"/>
    </row>
    <row r="36" spans="1:21">
      <c r="A36" t="s">
        <v>30</v>
      </c>
      <c r="B36" s="10">
        <v>0</v>
      </c>
      <c r="C36" s="7">
        <v>0</v>
      </c>
      <c r="D36" s="7">
        <v>276.35551987483632</v>
      </c>
      <c r="E36" s="7">
        <v>0</v>
      </c>
      <c r="F36" s="17">
        <f t="shared" si="0"/>
        <v>276.35551987483632</v>
      </c>
      <c r="K36" s="10"/>
      <c r="L36" s="7"/>
      <c r="M36" s="7"/>
      <c r="N36" s="7"/>
      <c r="O36" s="7"/>
      <c r="P36" s="7"/>
      <c r="Q36" s="7"/>
      <c r="R36" s="7"/>
      <c r="S36" s="7"/>
      <c r="T36" s="7"/>
      <c r="U36" s="17"/>
    </row>
    <row r="37" spans="1:21">
      <c r="A37" t="s">
        <v>31</v>
      </c>
      <c r="B37" s="10">
        <v>0</v>
      </c>
      <c r="C37" s="7">
        <v>0</v>
      </c>
      <c r="D37" s="7">
        <v>5137.9007292066854</v>
      </c>
      <c r="E37" s="7">
        <v>0</v>
      </c>
      <c r="F37" s="17">
        <f t="shared" si="0"/>
        <v>5137.9007292066854</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-0.5</v>
      </c>
      <c r="E40" s="7">
        <v>0</v>
      </c>
      <c r="F40" s="17">
        <f t="shared" si="1"/>
        <v>-0.5</v>
      </c>
      <c r="K40" s="10"/>
      <c r="L40" s="7"/>
      <c r="M40" s="7"/>
      <c r="N40" s="7"/>
      <c r="O40" s="7"/>
      <c r="P40" s="7"/>
      <c r="Q40" s="7"/>
      <c r="R40" s="7"/>
      <c r="S40" s="7"/>
      <c r="T40" s="7"/>
      <c r="U40" s="17"/>
    </row>
    <row r="41" spans="1:21">
      <c r="A41" t="s">
        <v>35</v>
      </c>
      <c r="B41" s="10">
        <v>0</v>
      </c>
      <c r="C41" s="7">
        <v>0</v>
      </c>
      <c r="D41" s="7">
        <v>167.28660249477161</v>
      </c>
      <c r="E41" s="7">
        <v>0</v>
      </c>
      <c r="F41" s="17">
        <f t="shared" si="1"/>
        <v>167.28660249477161</v>
      </c>
      <c r="K41" s="10"/>
      <c r="L41" s="7"/>
      <c r="M41" s="7"/>
      <c r="N41" s="7"/>
      <c r="O41" s="7"/>
      <c r="P41" s="7"/>
      <c r="Q41" s="7"/>
      <c r="R41" s="7"/>
      <c r="S41" s="7"/>
      <c r="T41" s="7"/>
      <c r="U41" s="17"/>
    </row>
    <row r="42" spans="1:21">
      <c r="A42" t="s">
        <v>36</v>
      </c>
      <c r="B42" s="10">
        <v>0</v>
      </c>
      <c r="C42" s="7">
        <v>0</v>
      </c>
      <c r="D42" s="7">
        <v>-677.11743700545048</v>
      </c>
      <c r="E42" s="7">
        <v>0</v>
      </c>
      <c r="F42" s="17">
        <f t="shared" si="1"/>
        <v>-677.11743700545048</v>
      </c>
      <c r="K42" s="10"/>
      <c r="L42" s="7"/>
      <c r="M42" s="7"/>
      <c r="N42" s="7"/>
      <c r="O42" s="7"/>
      <c r="P42" s="7"/>
      <c r="Q42" s="7"/>
      <c r="R42" s="7"/>
      <c r="S42" s="7"/>
      <c r="T42" s="7"/>
      <c r="U42" s="17"/>
    </row>
    <row r="43" spans="1:21">
      <c r="A43" t="s">
        <v>37</v>
      </c>
      <c r="B43" s="10">
        <v>0</v>
      </c>
      <c r="C43" s="7">
        <v>0</v>
      </c>
      <c r="D43" s="7">
        <v>8873.5349692152085</v>
      </c>
      <c r="E43" s="7">
        <v>0</v>
      </c>
      <c r="F43" s="17">
        <f t="shared" si="1"/>
        <v>8873.5349692152085</v>
      </c>
      <c r="K43" s="10"/>
      <c r="L43" s="7"/>
      <c r="M43" s="7"/>
      <c r="N43" s="7"/>
      <c r="O43" s="7"/>
      <c r="P43" s="7"/>
      <c r="Q43" s="7"/>
      <c r="R43" s="7"/>
      <c r="S43" s="7"/>
      <c r="T43" s="7"/>
      <c r="U43" s="17"/>
    </row>
    <row r="44" spans="1:21">
      <c r="A44" t="s">
        <v>38</v>
      </c>
      <c r="B44" s="10">
        <v>0</v>
      </c>
      <c r="C44" s="7">
        <v>0</v>
      </c>
      <c r="D44" s="7">
        <v>1289.1870837663319</v>
      </c>
      <c r="E44" s="7">
        <v>0</v>
      </c>
      <c r="F44" s="17">
        <f t="shared" si="1"/>
        <v>1289.1870837663319</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16.807802363272685</v>
      </c>
      <c r="E46" s="7">
        <v>0</v>
      </c>
      <c r="F46" s="17">
        <f t="shared" si="1"/>
        <v>16.807802363272685</v>
      </c>
      <c r="K46" s="10"/>
      <c r="L46" s="7"/>
      <c r="M46" s="7"/>
      <c r="N46" s="7"/>
      <c r="O46" s="7"/>
      <c r="P46" s="7"/>
      <c r="Q46" s="7"/>
      <c r="R46" s="7"/>
      <c r="S46" s="7"/>
      <c r="T46" s="7"/>
      <c r="U46" s="17"/>
    </row>
    <row r="47" spans="1:21">
      <c r="A47" t="s">
        <v>41</v>
      </c>
      <c r="B47" s="10">
        <v>0</v>
      </c>
      <c r="C47" s="7">
        <v>0</v>
      </c>
      <c r="D47" s="7">
        <v>7023.5090673528475</v>
      </c>
      <c r="E47" s="7">
        <v>0</v>
      </c>
      <c r="F47" s="17">
        <f t="shared" si="1"/>
        <v>7023.5090673528475</v>
      </c>
      <c r="K47" s="10"/>
      <c r="L47" s="7"/>
      <c r="M47" s="7"/>
      <c r="N47" s="7"/>
      <c r="O47" s="7"/>
      <c r="P47" s="7"/>
      <c r="Q47" s="7"/>
      <c r="R47" s="7"/>
      <c r="S47" s="7"/>
      <c r="T47" s="7"/>
      <c r="U47" s="17"/>
    </row>
    <row r="48" spans="1:21">
      <c r="A48" t="s">
        <v>42</v>
      </c>
      <c r="B48" s="10">
        <v>0</v>
      </c>
      <c r="C48" s="7">
        <v>0</v>
      </c>
      <c r="D48" s="7">
        <v>1.9030909519851775</v>
      </c>
      <c r="E48" s="7">
        <v>0</v>
      </c>
      <c r="F48" s="17">
        <f t="shared" si="1"/>
        <v>1.9030909519851775</v>
      </c>
      <c r="K48" s="10"/>
      <c r="L48" s="7"/>
      <c r="M48" s="7"/>
      <c r="N48" s="7"/>
      <c r="O48" s="7"/>
      <c r="P48" s="7"/>
      <c r="Q48" s="7"/>
      <c r="R48" s="7"/>
      <c r="S48" s="7"/>
      <c r="T48" s="7"/>
      <c r="U48" s="17"/>
    </row>
    <row r="49" spans="1:21">
      <c r="A49" t="s">
        <v>43</v>
      </c>
      <c r="B49" s="10">
        <v>0</v>
      </c>
      <c r="C49" s="7">
        <v>0</v>
      </c>
      <c r="D49" s="7">
        <v>576.41437377055081</v>
      </c>
      <c r="E49" s="7">
        <v>0</v>
      </c>
      <c r="F49" s="17">
        <f t="shared" si="1"/>
        <v>576.41437377055081</v>
      </c>
      <c r="K49" s="10"/>
      <c r="L49" s="7"/>
      <c r="M49" s="7"/>
      <c r="N49" s="7"/>
      <c r="O49" s="7"/>
      <c r="P49" s="7"/>
      <c r="Q49" s="7"/>
      <c r="R49" s="7"/>
      <c r="S49" s="7"/>
      <c r="T49" s="7"/>
      <c r="U49" s="17"/>
    </row>
    <row r="50" spans="1:21">
      <c r="A50" t="s">
        <v>44</v>
      </c>
      <c r="B50" s="10">
        <v>0</v>
      </c>
      <c r="C50" s="7">
        <v>0</v>
      </c>
      <c r="D50" s="7">
        <v>-19351.855041071743</v>
      </c>
      <c r="E50" s="7">
        <v>0</v>
      </c>
      <c r="F50" s="17">
        <f t="shared" si="1"/>
        <v>-19351.855041071743</v>
      </c>
      <c r="K50" s="10">
        <v>0</v>
      </c>
      <c r="L50" s="7">
        <v>0</v>
      </c>
      <c r="M50" s="7"/>
      <c r="N50" s="7">
        <v>0</v>
      </c>
      <c r="O50" s="7">
        <v>0</v>
      </c>
      <c r="P50" s="7"/>
      <c r="Q50" s="7">
        <v>250000</v>
      </c>
      <c r="R50" s="7">
        <v>0</v>
      </c>
      <c r="S50" s="7"/>
      <c r="T50" s="7">
        <v>0</v>
      </c>
      <c r="U50" s="17">
        <v>0</v>
      </c>
    </row>
    <row r="51" spans="1:21">
      <c r="A51" t="s">
        <v>45</v>
      </c>
      <c r="B51" s="10">
        <v>0</v>
      </c>
      <c r="C51" s="7">
        <v>0</v>
      </c>
      <c r="D51" s="7">
        <v>1387.4406688101353</v>
      </c>
      <c r="E51" s="7">
        <v>0</v>
      </c>
      <c r="F51" s="17">
        <f t="shared" si="1"/>
        <v>1387.4406688101353</v>
      </c>
      <c r="K51" s="10"/>
      <c r="L51" s="7"/>
      <c r="M51" s="7"/>
      <c r="N51" s="7"/>
      <c r="O51" s="7"/>
      <c r="P51" s="7"/>
      <c r="Q51" s="7"/>
      <c r="R51" s="7"/>
      <c r="S51" s="7"/>
      <c r="T51" s="7"/>
      <c r="U51" s="17"/>
    </row>
    <row r="52" spans="1:21">
      <c r="A52" t="s">
        <v>46</v>
      </c>
      <c r="B52" s="10">
        <v>0</v>
      </c>
      <c r="C52" s="7">
        <v>0</v>
      </c>
      <c r="D52" s="7">
        <v>1.0229451106478678</v>
      </c>
      <c r="E52" s="7">
        <v>0</v>
      </c>
      <c r="F52" s="17">
        <f t="shared" si="1"/>
        <v>1.0229451106478678</v>
      </c>
      <c r="K52" s="10"/>
      <c r="L52" s="7"/>
      <c r="M52" s="7"/>
      <c r="N52" s="7"/>
      <c r="O52" s="7"/>
      <c r="P52" s="7"/>
      <c r="Q52" s="7"/>
      <c r="R52" s="7"/>
      <c r="S52" s="7"/>
      <c r="T52" s="7"/>
      <c r="U52" s="17"/>
    </row>
    <row r="53" spans="1:21">
      <c r="A53" t="s">
        <v>47</v>
      </c>
      <c r="B53" s="10">
        <v>0</v>
      </c>
      <c r="C53" s="7">
        <v>0</v>
      </c>
      <c r="D53" s="7">
        <v>112057.9934259908</v>
      </c>
      <c r="E53" s="7">
        <v>0</v>
      </c>
      <c r="F53" s="17">
        <f t="shared" si="1"/>
        <v>112057.9934259908</v>
      </c>
      <c r="K53" s="10"/>
      <c r="L53" s="7"/>
      <c r="M53" s="7"/>
      <c r="N53" s="7"/>
      <c r="O53" s="7"/>
      <c r="P53" s="7"/>
      <c r="Q53" s="7"/>
      <c r="R53" s="7"/>
      <c r="S53" s="7"/>
      <c r="T53" s="7"/>
      <c r="U53" s="17"/>
    </row>
    <row r="54" spans="1:21">
      <c r="A54" t="s">
        <v>48</v>
      </c>
      <c r="B54" s="10">
        <v>0</v>
      </c>
      <c r="C54" s="7">
        <v>0</v>
      </c>
      <c r="D54" s="7">
        <v>927.50281842616096</v>
      </c>
      <c r="E54" s="7">
        <v>0</v>
      </c>
      <c r="F54" s="17">
        <f t="shared" si="1"/>
        <v>927.50281842616096</v>
      </c>
      <c r="K54" s="10"/>
      <c r="L54" s="7"/>
      <c r="M54" s="7"/>
      <c r="N54" s="7"/>
      <c r="O54" s="7"/>
      <c r="P54" s="7"/>
      <c r="Q54" s="7"/>
      <c r="R54" s="7"/>
      <c r="S54" s="7"/>
      <c r="T54" s="7"/>
      <c r="U54" s="17"/>
    </row>
    <row r="55" spans="1:21">
      <c r="A55" t="s">
        <v>49</v>
      </c>
      <c r="B55" s="10">
        <v>0</v>
      </c>
      <c r="C55" s="7">
        <v>0</v>
      </c>
      <c r="D55" s="7">
        <v>2936.2391211232316</v>
      </c>
      <c r="E55" s="7">
        <v>0</v>
      </c>
      <c r="F55" s="17">
        <f t="shared" si="1"/>
        <v>2936.2391211232316</v>
      </c>
      <c r="K55" s="10">
        <v>0</v>
      </c>
      <c r="L55" s="7">
        <v>0</v>
      </c>
      <c r="M55" s="7"/>
      <c r="N55" s="7">
        <v>0</v>
      </c>
      <c r="O55" s="7">
        <v>0</v>
      </c>
      <c r="P55" s="7"/>
      <c r="Q55" s="7">
        <v>100000</v>
      </c>
      <c r="R55" s="7">
        <v>0</v>
      </c>
      <c r="S55" s="7"/>
      <c r="T55" s="7">
        <v>0</v>
      </c>
      <c r="U55" s="17">
        <v>0</v>
      </c>
    </row>
    <row r="56" spans="1:21">
      <c r="A56" t="s">
        <v>50</v>
      </c>
      <c r="B56" s="10">
        <v>0</v>
      </c>
      <c r="C56" s="7">
        <v>0</v>
      </c>
      <c r="D56" s="7">
        <v>604053.03442621301</v>
      </c>
      <c r="E56" s="7">
        <v>0</v>
      </c>
      <c r="F56" s="17">
        <f t="shared" si="1"/>
        <v>604053.03442621301</v>
      </c>
      <c r="K56" s="10"/>
      <c r="L56" s="7"/>
      <c r="M56" s="7"/>
      <c r="N56" s="7"/>
      <c r="O56" s="7"/>
      <c r="P56" s="7"/>
      <c r="Q56" s="7"/>
      <c r="R56" s="7"/>
      <c r="S56" s="7"/>
      <c r="T56" s="7"/>
      <c r="U56" s="17"/>
    </row>
    <row r="57" spans="1:21">
      <c r="A57" t="s">
        <v>51</v>
      </c>
      <c r="B57" s="10">
        <v>0</v>
      </c>
      <c r="C57" s="7">
        <v>0</v>
      </c>
      <c r="D57" s="7">
        <v>344.35032232575759</v>
      </c>
      <c r="E57" s="7">
        <v>0</v>
      </c>
      <c r="F57" s="17">
        <f t="shared" si="1"/>
        <v>344.35032232575759</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892802.29160067695</v>
      </c>
      <c r="E60" s="7">
        <f>SUM(E6:E58)</f>
        <v>0</v>
      </c>
      <c r="F60" s="17">
        <f>SUM(F6:F58)</f>
        <v>892802.29160067695</v>
      </c>
      <c r="K60" s="10">
        <f>SUM(K6:K58)</f>
        <v>0</v>
      </c>
      <c r="L60" s="7">
        <f>SUM(L6:L58)</f>
        <v>0</v>
      </c>
      <c r="M60" s="7"/>
      <c r="N60" s="7">
        <f>SUM(N6:N58)</f>
        <v>0</v>
      </c>
      <c r="O60" s="7">
        <f>SUM(O6:O58)</f>
        <v>0</v>
      </c>
      <c r="P60" s="7"/>
      <c r="Q60" s="7">
        <f>SUM(Q6:Q58)</f>
        <v>584325</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Italic"Legion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16784.006576143842</v>
      </c>
      <c r="C6" s="7">
        <v>0</v>
      </c>
      <c r="D6" s="7">
        <v>202020.83693278898</v>
      </c>
      <c r="E6" s="7">
        <v>0</v>
      </c>
      <c r="F6" s="17">
        <f t="shared" ref="F6:F37" si="0">SUM(B6:E6)</f>
        <v>218804.84350893283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10369.066937356889</v>
      </c>
      <c r="C8" s="7">
        <v>0</v>
      </c>
      <c r="D8" s="7">
        <v>1119358.3641066372</v>
      </c>
      <c r="E8" s="7">
        <v>0</v>
      </c>
      <c r="F8" s="17">
        <f t="shared" si="0"/>
        <v>1129727.4310439941</v>
      </c>
      <c r="H8" s="4" t="s">
        <v>64</v>
      </c>
      <c r="I8" s="13"/>
      <c r="K8" s="10"/>
      <c r="L8" s="7"/>
      <c r="M8" s="7"/>
      <c r="N8" s="7"/>
      <c r="O8" s="7"/>
      <c r="P8" s="7"/>
      <c r="Q8" s="7"/>
      <c r="R8" s="7"/>
      <c r="S8" s="7"/>
      <c r="T8" s="7"/>
      <c r="U8" s="17"/>
    </row>
    <row r="9" spans="1:21">
      <c r="A9" t="s">
        <v>3</v>
      </c>
      <c r="B9" s="10">
        <v>-4291.3543937002178</v>
      </c>
      <c r="C9" s="7">
        <v>0</v>
      </c>
      <c r="D9" s="7">
        <v>-13229.772991075268</v>
      </c>
      <c r="E9" s="7">
        <v>0</v>
      </c>
      <c r="F9" s="17">
        <f t="shared" si="0"/>
        <v>-17521.127384775486</v>
      </c>
      <c r="H9" s="4"/>
      <c r="I9" s="13"/>
      <c r="K9" s="10">
        <v>21578</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47709013</v>
      </c>
      <c r="K10" s="10"/>
      <c r="L10" s="7"/>
      <c r="M10" s="7"/>
      <c r="N10" s="7"/>
      <c r="O10" s="7"/>
      <c r="P10" s="7"/>
      <c r="Q10" s="7"/>
      <c r="R10" s="7"/>
      <c r="S10" s="7"/>
      <c r="T10" s="7"/>
      <c r="U10" s="17"/>
    </row>
    <row r="11" spans="1:21">
      <c r="A11" t="s">
        <v>5</v>
      </c>
      <c r="B11" s="10">
        <v>3193.007392134291</v>
      </c>
      <c r="C11" s="7">
        <v>0</v>
      </c>
      <c r="D11" s="7">
        <v>262227.70482420921</v>
      </c>
      <c r="E11" s="7">
        <v>0</v>
      </c>
      <c r="F11" s="17">
        <f t="shared" si="0"/>
        <v>265420.7122163435</v>
      </c>
      <c r="H11" s="4"/>
      <c r="I11" s="14"/>
      <c r="K11" s="10">
        <v>0</v>
      </c>
      <c r="L11" s="7">
        <v>0</v>
      </c>
      <c r="M11" s="7"/>
      <c r="N11" s="7">
        <v>0</v>
      </c>
      <c r="O11" s="7">
        <v>0</v>
      </c>
      <c r="P11" s="7"/>
      <c r="Q11" s="7">
        <v>35214</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873.5839308265613</v>
      </c>
      <c r="C13" s="7">
        <v>0</v>
      </c>
      <c r="D13" s="7">
        <v>-2304.5864623950438</v>
      </c>
      <c r="E13" s="7">
        <v>0</v>
      </c>
      <c r="F13" s="17">
        <f t="shared" si="0"/>
        <v>-1431.0025315684825</v>
      </c>
      <c r="H13" s="4" t="s">
        <v>67</v>
      </c>
      <c r="I13" s="14">
        <v>26802553.214000285</v>
      </c>
      <c r="K13" s="10"/>
      <c r="L13" s="7"/>
      <c r="M13" s="7"/>
      <c r="N13" s="7"/>
      <c r="O13" s="7"/>
      <c r="P13" s="7"/>
      <c r="Q13" s="7"/>
      <c r="R13" s="7"/>
      <c r="S13" s="7"/>
      <c r="T13" s="7"/>
      <c r="U13" s="17"/>
    </row>
    <row r="14" spans="1:21">
      <c r="A14" t="s">
        <v>8</v>
      </c>
      <c r="B14" s="10">
        <v>-1073.0069924137081</v>
      </c>
      <c r="C14" s="7">
        <v>0</v>
      </c>
      <c r="D14" s="7">
        <v>-1120</v>
      </c>
      <c r="E14" s="7">
        <v>0</v>
      </c>
      <c r="F14" s="17">
        <f t="shared" si="0"/>
        <v>-2193.0069924137078</v>
      </c>
      <c r="H14" s="4" t="s">
        <v>68</v>
      </c>
      <c r="I14" s="14">
        <v>3937934.67</v>
      </c>
      <c r="K14" s="10"/>
      <c r="L14" s="7"/>
      <c r="M14" s="7"/>
      <c r="N14" s="7"/>
      <c r="O14" s="7"/>
      <c r="P14" s="7"/>
      <c r="Q14" s="7"/>
      <c r="R14" s="7"/>
      <c r="S14" s="7"/>
      <c r="T14" s="7"/>
      <c r="U14" s="17"/>
    </row>
    <row r="15" spans="1:21">
      <c r="A15" t="s">
        <v>9</v>
      </c>
      <c r="B15" s="10">
        <v>176496.54334363245</v>
      </c>
      <c r="C15" s="7">
        <v>0</v>
      </c>
      <c r="D15" s="7">
        <v>10291156.950781282</v>
      </c>
      <c r="E15" s="7">
        <v>0</v>
      </c>
      <c r="F15" s="17">
        <f t="shared" si="0"/>
        <v>10467653.494124914</v>
      </c>
      <c r="H15" s="4" t="s">
        <v>69</v>
      </c>
      <c r="I15" s="14">
        <v>4891145.2820000025</v>
      </c>
      <c r="K15" s="10">
        <v>0</v>
      </c>
      <c r="L15" s="7">
        <v>0</v>
      </c>
      <c r="M15" s="7"/>
      <c r="N15" s="7">
        <v>0</v>
      </c>
      <c r="O15" s="7">
        <v>0</v>
      </c>
      <c r="P15" s="7"/>
      <c r="Q15" s="7">
        <v>900000</v>
      </c>
      <c r="R15" s="7">
        <v>0</v>
      </c>
      <c r="S15" s="7"/>
      <c r="T15" s="7">
        <v>0</v>
      </c>
      <c r="U15" s="17">
        <v>0</v>
      </c>
    </row>
    <row r="16" spans="1:21">
      <c r="A16" t="s">
        <v>10</v>
      </c>
      <c r="B16" s="10">
        <v>57958.862412956631</v>
      </c>
      <c r="C16" s="7">
        <v>0</v>
      </c>
      <c r="D16" s="7">
        <v>10903776.82595535</v>
      </c>
      <c r="E16" s="7">
        <v>0</v>
      </c>
      <c r="F16" s="17">
        <f t="shared" si="0"/>
        <v>10961735.688368307</v>
      </c>
      <c r="H16" s="4" t="s">
        <v>70</v>
      </c>
      <c r="I16" s="14">
        <v>26810031.838249721</v>
      </c>
      <c r="K16" s="10"/>
      <c r="L16" s="7"/>
      <c r="M16" s="7"/>
      <c r="N16" s="7"/>
      <c r="O16" s="7"/>
      <c r="P16" s="7"/>
      <c r="Q16" s="7"/>
      <c r="R16" s="7"/>
      <c r="S16" s="7"/>
      <c r="T16" s="7"/>
      <c r="U16" s="17"/>
    </row>
    <row r="17" spans="1:21">
      <c r="A17" t="s">
        <v>11</v>
      </c>
      <c r="B17" s="10">
        <v>39716.121435378271</v>
      </c>
      <c r="C17" s="7">
        <v>0</v>
      </c>
      <c r="D17" s="7">
        <v>27269.201782014763</v>
      </c>
      <c r="E17" s="7">
        <v>0</v>
      </c>
      <c r="F17" s="17">
        <f t="shared" si="0"/>
        <v>66985.32321739303</v>
      </c>
      <c r="H17" s="4"/>
      <c r="I17" s="14"/>
      <c r="K17" s="10"/>
      <c r="L17" s="7"/>
      <c r="M17" s="7"/>
      <c r="N17" s="7"/>
      <c r="O17" s="7"/>
      <c r="P17" s="7"/>
      <c r="Q17" s="7"/>
      <c r="R17" s="7"/>
      <c r="S17" s="7"/>
      <c r="T17" s="7"/>
      <c r="U17" s="17"/>
    </row>
    <row r="18" spans="1:21">
      <c r="A18" t="s">
        <v>12</v>
      </c>
      <c r="B18" s="10">
        <v>0</v>
      </c>
      <c r="C18" s="7">
        <v>0</v>
      </c>
      <c r="D18" s="7">
        <v>-12791.52</v>
      </c>
      <c r="E18" s="7">
        <v>0</v>
      </c>
      <c r="F18" s="17">
        <f t="shared" si="0"/>
        <v>-12791.52</v>
      </c>
      <c r="H18" s="4" t="s">
        <v>71</v>
      </c>
      <c r="I18" s="14"/>
      <c r="K18" s="10">
        <v>0</v>
      </c>
      <c r="L18" s="7">
        <v>0</v>
      </c>
      <c r="M18" s="7"/>
      <c r="N18" s="7">
        <v>0</v>
      </c>
      <c r="O18" s="7">
        <v>0</v>
      </c>
      <c r="P18" s="7"/>
      <c r="Q18" s="7">
        <v>64500</v>
      </c>
      <c r="R18" s="7">
        <v>0</v>
      </c>
      <c r="S18" s="7"/>
      <c r="T18" s="7">
        <v>0</v>
      </c>
      <c r="U18" s="17">
        <v>0</v>
      </c>
    </row>
    <row r="19" spans="1:21">
      <c r="A19" t="s">
        <v>13</v>
      </c>
      <c r="B19" s="10">
        <v>57708.338979971079</v>
      </c>
      <c r="C19" s="7">
        <v>0</v>
      </c>
      <c r="D19" s="7">
        <v>2235647.8457446801</v>
      </c>
      <c r="E19" s="7">
        <v>0</v>
      </c>
      <c r="F19" s="17">
        <f t="shared" si="0"/>
        <v>2293356.1847246513</v>
      </c>
      <c r="H19" s="4" t="s">
        <v>72</v>
      </c>
      <c r="I19" s="14">
        <v>0</v>
      </c>
      <c r="K19" s="10">
        <v>200000</v>
      </c>
      <c r="L19" s="7">
        <v>0</v>
      </c>
      <c r="M19" s="7"/>
      <c r="N19" s="7">
        <v>0</v>
      </c>
      <c r="O19" s="7">
        <v>0</v>
      </c>
      <c r="P19" s="7"/>
      <c r="Q19" s="7">
        <v>3100000</v>
      </c>
      <c r="R19" s="7">
        <v>1100000</v>
      </c>
      <c r="S19" s="7"/>
      <c r="T19" s="7">
        <v>0</v>
      </c>
      <c r="U19" s="17">
        <v>0</v>
      </c>
    </row>
    <row r="20" spans="1:21">
      <c r="A20" t="s">
        <v>14</v>
      </c>
      <c r="B20" s="10">
        <v>36574.009787329742</v>
      </c>
      <c r="C20" s="7">
        <v>0</v>
      </c>
      <c r="D20" s="7">
        <v>-21316.898204813384</v>
      </c>
      <c r="E20" s="7">
        <v>0</v>
      </c>
      <c r="F20" s="17">
        <f t="shared" si="0"/>
        <v>15257.111582516358</v>
      </c>
      <c r="H20" s="4" t="s">
        <v>73</v>
      </c>
      <c r="I20" s="14">
        <v>43815428.568790302</v>
      </c>
      <c r="K20" s="10"/>
      <c r="L20" s="7"/>
      <c r="M20" s="7"/>
      <c r="N20" s="7"/>
      <c r="O20" s="7"/>
      <c r="P20" s="7"/>
      <c r="Q20" s="7"/>
      <c r="R20" s="7"/>
      <c r="S20" s="7"/>
      <c r="T20" s="7"/>
      <c r="U20" s="17"/>
    </row>
    <row r="21" spans="1:21">
      <c r="A21" t="s">
        <v>15</v>
      </c>
      <c r="B21" s="10">
        <v>0</v>
      </c>
      <c r="C21" s="7">
        <v>0</v>
      </c>
      <c r="D21" s="7">
        <v>12423.229999999981</v>
      </c>
      <c r="E21" s="7">
        <v>0</v>
      </c>
      <c r="F21" s="17">
        <f t="shared" si="0"/>
        <v>12423.229999999981</v>
      </c>
      <c r="H21" s="4" t="s">
        <v>74</v>
      </c>
      <c r="I21" s="14"/>
      <c r="K21" s="10"/>
      <c r="L21" s="7"/>
      <c r="M21" s="7"/>
      <c r="N21" s="7"/>
      <c r="O21" s="7"/>
      <c r="P21" s="7"/>
      <c r="Q21" s="7"/>
      <c r="R21" s="7"/>
      <c r="S21" s="7"/>
      <c r="T21" s="7"/>
      <c r="U21" s="17"/>
    </row>
    <row r="22" spans="1:21">
      <c r="A22" t="s">
        <v>16</v>
      </c>
      <c r="B22" s="10">
        <v>-3896.2518015789292</v>
      </c>
      <c r="C22" s="7">
        <v>0</v>
      </c>
      <c r="D22" s="7">
        <v>601779.72912016057</v>
      </c>
      <c r="E22" s="7">
        <v>0</v>
      </c>
      <c r="F22" s="17">
        <f t="shared" si="0"/>
        <v>597883.47731858166</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60969.153544390188</v>
      </c>
      <c r="C24" s="7">
        <v>0</v>
      </c>
      <c r="D24" s="7">
        <v>269524.89057659637</v>
      </c>
      <c r="E24" s="7">
        <v>0</v>
      </c>
      <c r="F24" s="17">
        <f t="shared" si="0"/>
        <v>330494.04412098654</v>
      </c>
      <c r="H24" s="4" t="s">
        <v>77</v>
      </c>
      <c r="I24" s="14">
        <v>30249861.091749996</v>
      </c>
      <c r="K24" s="10">
        <v>11383</v>
      </c>
      <c r="L24" s="7">
        <v>0</v>
      </c>
      <c r="M24" s="7"/>
      <c r="N24" s="7">
        <v>529</v>
      </c>
      <c r="O24" s="7">
        <v>0</v>
      </c>
      <c r="P24" s="7"/>
      <c r="Q24" s="7">
        <v>235088</v>
      </c>
      <c r="R24" s="7">
        <v>0</v>
      </c>
      <c r="S24" s="7"/>
      <c r="T24" s="7">
        <v>0</v>
      </c>
      <c r="U24" s="17">
        <v>0</v>
      </c>
    </row>
    <row r="25" spans="1:21">
      <c r="A25" t="s">
        <v>19</v>
      </c>
      <c r="B25" s="10">
        <v>0</v>
      </c>
      <c r="C25" s="7">
        <v>0</v>
      </c>
      <c r="D25" s="7">
        <v>-857</v>
      </c>
      <c r="E25" s="7">
        <v>0</v>
      </c>
      <c r="F25" s="17">
        <f t="shared" si="0"/>
        <v>-857</v>
      </c>
      <c r="H25" s="4"/>
      <c r="I25" s="14"/>
      <c r="K25" s="10"/>
      <c r="L25" s="7"/>
      <c r="M25" s="7"/>
      <c r="N25" s="7"/>
      <c r="O25" s="7"/>
      <c r="P25" s="7"/>
      <c r="Q25" s="7"/>
      <c r="R25" s="7"/>
      <c r="S25" s="7"/>
      <c r="T25" s="7"/>
      <c r="U25" s="17"/>
    </row>
    <row r="26" spans="1:21">
      <c r="A26" t="s">
        <v>20</v>
      </c>
      <c r="B26" s="10">
        <v>5442.725855697925</v>
      </c>
      <c r="C26" s="7">
        <v>0</v>
      </c>
      <c r="D26" s="7">
        <v>967742.41104453418</v>
      </c>
      <c r="E26" s="7">
        <v>0</v>
      </c>
      <c r="F26" s="17">
        <f t="shared" si="0"/>
        <v>973185.13690023206</v>
      </c>
      <c r="H26" s="4" t="s">
        <v>78</v>
      </c>
      <c r="I26" s="14">
        <f>SUM(I10:I16)-SUM(I19:I24)</f>
        <v>36085388.343709722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36085388.343709707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12598.409526281093</v>
      </c>
      <c r="C30" s="7">
        <v>0</v>
      </c>
      <c r="D30" s="7">
        <v>1011037.2745497136</v>
      </c>
      <c r="E30" s="7">
        <v>0</v>
      </c>
      <c r="F30" s="17">
        <f t="shared" si="0"/>
        <v>1023635.6840759946</v>
      </c>
      <c r="K30" s="10"/>
      <c r="L30" s="7"/>
      <c r="M30" s="7"/>
      <c r="N30" s="7"/>
      <c r="O30" s="7"/>
      <c r="P30" s="7"/>
      <c r="Q30" s="7"/>
      <c r="R30" s="7"/>
      <c r="S30" s="7"/>
      <c r="T30" s="7"/>
      <c r="U30" s="17"/>
    </row>
    <row r="31" spans="1:21">
      <c r="A31" t="s">
        <v>25</v>
      </c>
      <c r="B31" s="10">
        <v>12002.75600265432</v>
      </c>
      <c r="C31" s="7">
        <v>0</v>
      </c>
      <c r="D31" s="7">
        <v>1731211.0931062126</v>
      </c>
      <c r="E31" s="7">
        <v>0</v>
      </c>
      <c r="F31" s="17">
        <f t="shared" si="0"/>
        <v>1743213.8491088669</v>
      </c>
      <c r="K31" s="10"/>
      <c r="L31" s="7"/>
      <c r="M31" s="7"/>
      <c r="N31" s="7"/>
      <c r="O31" s="7"/>
      <c r="P31" s="7"/>
      <c r="Q31" s="7"/>
      <c r="R31" s="7"/>
      <c r="S31" s="7"/>
      <c r="T31" s="7"/>
      <c r="U31" s="17"/>
    </row>
    <row r="32" spans="1:21">
      <c r="A32" t="s">
        <v>26</v>
      </c>
      <c r="B32" s="10">
        <v>1251.9066927412614</v>
      </c>
      <c r="C32" s="7">
        <v>0</v>
      </c>
      <c r="D32" s="7">
        <v>45018.653307258734</v>
      </c>
      <c r="E32" s="7">
        <v>0</v>
      </c>
      <c r="F32" s="17">
        <f t="shared" si="0"/>
        <v>46270.559999999998</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205789.56819494147</v>
      </c>
      <c r="C34" s="7">
        <v>0</v>
      </c>
      <c r="D34" s="7">
        <v>-15233.956556207864</v>
      </c>
      <c r="E34" s="7">
        <v>0</v>
      </c>
      <c r="F34" s="17">
        <f t="shared" si="0"/>
        <v>190555.61163873359</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-1657.6318155821127</v>
      </c>
      <c r="C37" s="7">
        <v>0</v>
      </c>
      <c r="D37" s="7">
        <v>360028.75973400963</v>
      </c>
      <c r="E37" s="7">
        <v>0</v>
      </c>
      <c r="F37" s="17">
        <f t="shared" si="0"/>
        <v>358371.12791842752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2183295.4336264366</v>
      </c>
      <c r="E40" s="7">
        <v>0</v>
      </c>
      <c r="F40" s="17">
        <f t="shared" si="1"/>
        <v>2183295.4336264366</v>
      </c>
      <c r="K40" s="10"/>
      <c r="L40" s="7"/>
      <c r="M40" s="7"/>
      <c r="N40" s="7"/>
      <c r="O40" s="7"/>
      <c r="P40" s="7"/>
      <c r="Q40" s="7"/>
      <c r="R40" s="7"/>
      <c r="S40" s="7"/>
      <c r="T40" s="7"/>
      <c r="U40" s="17"/>
    </row>
    <row r="41" spans="1:21">
      <c r="A41" t="s">
        <v>35</v>
      </c>
      <c r="B41" s="10">
        <v>102848.54691406307</v>
      </c>
      <c r="C41" s="7">
        <v>0</v>
      </c>
      <c r="D41" s="7">
        <v>493752.63293417409</v>
      </c>
      <c r="E41" s="7">
        <v>0</v>
      </c>
      <c r="F41" s="17">
        <f t="shared" si="1"/>
        <v>596601.1798482372</v>
      </c>
      <c r="K41" s="10"/>
      <c r="L41" s="7"/>
      <c r="M41" s="7"/>
      <c r="N41" s="7"/>
      <c r="O41" s="7"/>
      <c r="P41" s="7"/>
      <c r="Q41" s="7"/>
      <c r="R41" s="7"/>
      <c r="S41" s="7"/>
      <c r="T41" s="7"/>
      <c r="U41" s="17"/>
    </row>
    <row r="42" spans="1:21">
      <c r="A42" t="s">
        <v>36</v>
      </c>
      <c r="B42" s="10">
        <v>3355.0269680621282</v>
      </c>
      <c r="C42" s="7">
        <v>0</v>
      </c>
      <c r="D42" s="7">
        <v>154997.53419989682</v>
      </c>
      <c r="E42" s="7">
        <v>0</v>
      </c>
      <c r="F42" s="17">
        <f t="shared" si="1"/>
        <v>158352.56116795895</v>
      </c>
      <c r="K42" s="10">
        <v>15000</v>
      </c>
      <c r="L42" s="7">
        <v>0</v>
      </c>
      <c r="M42" s="7"/>
      <c r="N42" s="7">
        <v>0</v>
      </c>
      <c r="O42" s="7">
        <v>0</v>
      </c>
      <c r="P42" s="7"/>
      <c r="Q42" s="7">
        <v>135000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-175739.13379571447</v>
      </c>
      <c r="C44" s="7">
        <v>0</v>
      </c>
      <c r="D44" s="7">
        <v>-564059.66769312788</v>
      </c>
      <c r="E44" s="7">
        <v>0</v>
      </c>
      <c r="F44" s="17">
        <f t="shared" si="1"/>
        <v>-739798.80148884235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-1159.1879364919953</v>
      </c>
      <c r="C48" s="7">
        <v>0</v>
      </c>
      <c r="D48" s="7">
        <v>1888836.0273061662</v>
      </c>
      <c r="E48" s="7">
        <v>0</v>
      </c>
      <c r="F48" s="17">
        <f t="shared" si="1"/>
        <v>1887676.8393696742</v>
      </c>
      <c r="K48" s="10"/>
      <c r="L48" s="7"/>
      <c r="M48" s="7"/>
      <c r="N48" s="7"/>
      <c r="O48" s="7"/>
      <c r="P48" s="7"/>
      <c r="Q48" s="7"/>
      <c r="R48" s="7"/>
      <c r="S48" s="7"/>
      <c r="T48" s="7"/>
      <c r="U48" s="17"/>
    </row>
    <row r="49" spans="1:21">
      <c r="A49" t="s">
        <v>43</v>
      </c>
      <c r="B49" s="10">
        <v>29485.142982959856</v>
      </c>
      <c r="C49" s="7">
        <v>0</v>
      </c>
      <c r="D49" s="7">
        <v>1280767.8909931681</v>
      </c>
      <c r="E49" s="7">
        <v>0</v>
      </c>
      <c r="F49" s="17">
        <f t="shared" si="1"/>
        <v>1310253.0339761279</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-63</v>
      </c>
      <c r="E51" s="7">
        <v>0</v>
      </c>
      <c r="F51" s="17">
        <f t="shared" si="1"/>
        <v>-63</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-1172</v>
      </c>
      <c r="C55" s="7">
        <v>0</v>
      </c>
      <c r="D55" s="7">
        <v>30063.24425</v>
      </c>
      <c r="E55" s="7">
        <v>0</v>
      </c>
      <c r="F55" s="17">
        <f t="shared" si="1"/>
        <v>28891.24425</v>
      </c>
      <c r="K55" s="10">
        <v>0</v>
      </c>
      <c r="L55" s="7">
        <v>0</v>
      </c>
      <c r="M55" s="7"/>
      <c r="N55" s="7">
        <v>0</v>
      </c>
      <c r="O55" s="7">
        <v>0</v>
      </c>
      <c r="P55" s="7"/>
      <c r="Q55" s="7">
        <v>150000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644428.21074203961</v>
      </c>
      <c r="C60" s="7">
        <f>SUM(C6:C58)</f>
        <v>0</v>
      </c>
      <c r="D60" s="7">
        <f>SUM(D6:D58)</f>
        <v>35440960.132967681</v>
      </c>
      <c r="E60" s="7">
        <f>SUM(E6:E58)</f>
        <v>0</v>
      </c>
      <c r="F60" s="17">
        <f>SUM(F6:F58)</f>
        <v>36085388.343709707</v>
      </c>
      <c r="K60" s="10">
        <f>SUM(K6:K58)</f>
        <v>247961</v>
      </c>
      <c r="L60" s="7">
        <f>SUM(L6:L58)</f>
        <v>0</v>
      </c>
      <c r="M60" s="7"/>
      <c r="N60" s="7">
        <f>SUM(N6:N58)</f>
        <v>529</v>
      </c>
      <c r="O60" s="7">
        <f>SUM(O6:O58)</f>
        <v>0</v>
      </c>
      <c r="P60" s="7"/>
      <c r="Q60" s="7">
        <f>SUM(Q6:Q58)</f>
        <v>4619802</v>
      </c>
      <c r="R60" s="7">
        <f>SUM(R6:R58)</f>
        <v>1100000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Italic"Life &amp; Health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-672481.68713662564</v>
      </c>
      <c r="C6" s="7">
        <v>0</v>
      </c>
      <c r="D6" s="7">
        <v>0</v>
      </c>
      <c r="E6" s="7">
        <v>0</v>
      </c>
      <c r="F6" s="17">
        <f t="shared" ref="F6:F37" si="0">SUM(B6:E6)</f>
        <v>-672481.68713662564</v>
      </c>
      <c r="K6" s="10"/>
      <c r="L6" s="7"/>
      <c r="M6" s="7"/>
      <c r="N6" s="7"/>
      <c r="O6" s="7"/>
      <c r="P6" s="7"/>
      <c r="Q6" s="7"/>
      <c r="R6" s="7"/>
      <c r="S6" s="7"/>
      <c r="T6" s="7"/>
      <c r="U6" s="17"/>
    </row>
    <row r="7" spans="1:21">
      <c r="A7" t="s">
        <v>1</v>
      </c>
      <c r="B7" s="10">
        <v>8897.9841411239722</v>
      </c>
      <c r="C7" s="7">
        <v>0</v>
      </c>
      <c r="D7" s="7">
        <v>0</v>
      </c>
      <c r="E7" s="7">
        <v>0</v>
      </c>
      <c r="F7" s="17">
        <f t="shared" si="0"/>
        <v>8897.9841411239722</v>
      </c>
      <c r="H7" s="22"/>
      <c r="I7" s="24"/>
      <c r="K7" s="10"/>
      <c r="L7" s="7"/>
      <c r="M7" s="7"/>
      <c r="N7" s="7"/>
      <c r="O7" s="7"/>
      <c r="P7" s="7"/>
      <c r="Q7" s="7"/>
      <c r="R7" s="7"/>
      <c r="S7" s="7"/>
      <c r="T7" s="7"/>
      <c r="U7" s="17"/>
    </row>
    <row r="8" spans="1:21">
      <c r="A8" t="s">
        <v>2</v>
      </c>
      <c r="B8" s="10">
        <v>2885745.7304489235</v>
      </c>
      <c r="C8" s="7">
        <v>50821.154592419902</v>
      </c>
      <c r="D8" s="7">
        <v>0</v>
      </c>
      <c r="E8" s="7">
        <v>0</v>
      </c>
      <c r="F8" s="17">
        <f t="shared" si="0"/>
        <v>2936566.8850413435</v>
      </c>
      <c r="H8" s="4" t="s">
        <v>64</v>
      </c>
      <c r="I8" s="13"/>
      <c r="K8" s="10"/>
      <c r="L8" s="7"/>
      <c r="M8" s="7"/>
      <c r="N8" s="7"/>
      <c r="O8" s="7"/>
      <c r="P8" s="7"/>
      <c r="Q8" s="7"/>
      <c r="R8" s="7"/>
      <c r="S8" s="7"/>
      <c r="T8" s="7"/>
      <c r="U8" s="17"/>
    </row>
    <row r="9" spans="1:21">
      <c r="A9" t="s">
        <v>3</v>
      </c>
      <c r="B9" s="10">
        <v>3513731.007102944</v>
      </c>
      <c r="C9" s="7">
        <v>121746.2772449826</v>
      </c>
      <c r="D9" s="7">
        <v>0</v>
      </c>
      <c r="E9" s="7">
        <v>0</v>
      </c>
      <c r="F9" s="17">
        <f t="shared" si="0"/>
        <v>3635477.2843479267</v>
      </c>
      <c r="H9" s="4"/>
      <c r="I9" s="13"/>
      <c r="K9" s="10">
        <v>0</v>
      </c>
      <c r="L9" s="7">
        <v>0</v>
      </c>
      <c r="M9" s="7"/>
      <c r="N9" s="7">
        <v>0</v>
      </c>
      <c r="O9" s="7">
        <v>0</v>
      </c>
      <c r="P9" s="7"/>
      <c r="Q9" s="7">
        <v>0</v>
      </c>
      <c r="R9" s="7">
        <v>0</v>
      </c>
      <c r="S9" s="7"/>
      <c r="T9" s="7">
        <v>0</v>
      </c>
      <c r="U9" s="17">
        <v>0</v>
      </c>
    </row>
    <row r="10" spans="1:21">
      <c r="A10" t="s">
        <v>4</v>
      </c>
      <c r="B10" s="10">
        <v>8487385.4265540279</v>
      </c>
      <c r="C10" s="7">
        <v>69393.703149660287</v>
      </c>
      <c r="D10" s="7">
        <v>0</v>
      </c>
      <c r="E10" s="7">
        <v>0</v>
      </c>
      <c r="F10" s="17">
        <f t="shared" si="0"/>
        <v>8556779.1297036875</v>
      </c>
      <c r="H10" s="4" t="s">
        <v>65</v>
      </c>
      <c r="I10" s="14">
        <v>473886401.20663929</v>
      </c>
      <c r="K10" s="10">
        <v>0</v>
      </c>
      <c r="L10" s="7">
        <v>0</v>
      </c>
      <c r="M10" s="7"/>
      <c r="N10" s="7">
        <v>0</v>
      </c>
      <c r="O10" s="7">
        <v>0</v>
      </c>
      <c r="P10" s="7"/>
      <c r="Q10" s="7">
        <v>0</v>
      </c>
      <c r="R10" s="7">
        <v>0</v>
      </c>
      <c r="S10" s="7"/>
      <c r="T10" s="7">
        <v>0</v>
      </c>
      <c r="U10" s="17">
        <v>0</v>
      </c>
    </row>
    <row r="11" spans="1:21">
      <c r="A11" t="s">
        <v>5</v>
      </c>
      <c r="B11" s="10">
        <v>374209.57755351049</v>
      </c>
      <c r="C11" s="7">
        <v>0</v>
      </c>
      <c r="D11" s="7">
        <v>0</v>
      </c>
      <c r="E11" s="7">
        <v>0</v>
      </c>
      <c r="F11" s="17">
        <f t="shared" si="0"/>
        <v>374209.57755351049</v>
      </c>
      <c r="H11" s="4"/>
      <c r="I11" s="14"/>
      <c r="K11" s="10">
        <v>0</v>
      </c>
      <c r="L11" s="7">
        <v>0</v>
      </c>
      <c r="M11" s="7"/>
      <c r="N11" s="7">
        <v>0</v>
      </c>
      <c r="O11" s="7">
        <v>0</v>
      </c>
      <c r="P11" s="7"/>
      <c r="Q11" s="7">
        <v>0</v>
      </c>
      <c r="R11" s="7">
        <v>0</v>
      </c>
      <c r="S11" s="7"/>
      <c r="T11" s="7">
        <v>0</v>
      </c>
      <c r="U11" s="17">
        <v>0</v>
      </c>
    </row>
    <row r="12" spans="1:21">
      <c r="A12" t="s">
        <v>6</v>
      </c>
      <c r="B12" s="10">
        <v>54489.984350899962</v>
      </c>
      <c r="C12" s="7">
        <v>0</v>
      </c>
      <c r="D12" s="7">
        <v>0</v>
      </c>
      <c r="E12" s="7">
        <v>0</v>
      </c>
      <c r="F12" s="17">
        <f t="shared" si="0"/>
        <v>54489.984350899962</v>
      </c>
      <c r="H12" s="4" t="s">
        <v>66</v>
      </c>
      <c r="I12" s="14"/>
      <c r="K12" s="10">
        <v>99230</v>
      </c>
      <c r="L12" s="7">
        <v>0</v>
      </c>
      <c r="M12" s="7"/>
      <c r="N12" s="7">
        <v>0</v>
      </c>
      <c r="O12" s="7">
        <v>0</v>
      </c>
      <c r="P12" s="7"/>
      <c r="Q12" s="7">
        <v>0</v>
      </c>
      <c r="R12" s="7">
        <v>0</v>
      </c>
      <c r="S12" s="7"/>
      <c r="T12" s="7">
        <v>0</v>
      </c>
      <c r="U12" s="17">
        <v>0</v>
      </c>
    </row>
    <row r="13" spans="1:21">
      <c r="A13" t="s">
        <v>7</v>
      </c>
      <c r="B13" s="10">
        <v>33208.907421235926</v>
      </c>
      <c r="C13" s="7">
        <v>0</v>
      </c>
      <c r="D13" s="7">
        <v>0</v>
      </c>
      <c r="E13" s="7">
        <v>0</v>
      </c>
      <c r="F13" s="17">
        <f t="shared" si="0"/>
        <v>33208.907421235926</v>
      </c>
      <c r="H13" s="4" t="s">
        <v>67</v>
      </c>
      <c r="I13" s="14">
        <v>131324469.07000013</v>
      </c>
      <c r="K13" s="10"/>
      <c r="L13" s="7"/>
      <c r="M13" s="7"/>
      <c r="N13" s="7"/>
      <c r="O13" s="7"/>
      <c r="P13" s="7"/>
      <c r="Q13" s="7"/>
      <c r="R13" s="7"/>
      <c r="S13" s="7"/>
      <c r="T13" s="7"/>
      <c r="U13" s="17"/>
    </row>
    <row r="14" spans="1:21">
      <c r="A14" t="s">
        <v>8</v>
      </c>
      <c r="B14" s="10">
        <v>7275.5711828788144</v>
      </c>
      <c r="C14" s="7">
        <v>0</v>
      </c>
      <c r="D14" s="7">
        <v>0</v>
      </c>
      <c r="E14" s="7">
        <v>0</v>
      </c>
      <c r="F14" s="17">
        <f t="shared" si="0"/>
        <v>7275.5711828788144</v>
      </c>
      <c r="H14" s="4" t="s">
        <v>68</v>
      </c>
      <c r="I14" s="14">
        <v>18592825.520318631</v>
      </c>
      <c r="K14" s="10"/>
      <c r="L14" s="7"/>
      <c r="M14" s="7"/>
      <c r="N14" s="7"/>
      <c r="O14" s="7"/>
      <c r="P14" s="7"/>
      <c r="Q14" s="7"/>
      <c r="R14" s="7"/>
      <c r="S14" s="7"/>
      <c r="T14" s="7"/>
      <c r="U14" s="17"/>
    </row>
    <row r="15" spans="1:21">
      <c r="A15" t="s">
        <v>9</v>
      </c>
      <c r="B15" s="10">
        <v>38696.1034154765</v>
      </c>
      <c r="C15" s="7">
        <v>0</v>
      </c>
      <c r="D15" s="7">
        <v>0</v>
      </c>
      <c r="E15" s="7">
        <v>0</v>
      </c>
      <c r="F15" s="17">
        <f t="shared" si="0"/>
        <v>38696.1034154765</v>
      </c>
      <c r="H15" s="4" t="s">
        <v>69</v>
      </c>
      <c r="I15" s="14">
        <v>17913297.016519334</v>
      </c>
      <c r="K15" s="10"/>
      <c r="L15" s="7"/>
      <c r="M15" s="7"/>
      <c r="N15" s="7"/>
      <c r="O15" s="7"/>
      <c r="P15" s="7"/>
      <c r="Q15" s="7"/>
      <c r="R15" s="7"/>
      <c r="S15" s="7"/>
      <c r="T15" s="7"/>
      <c r="U15" s="17"/>
    </row>
    <row r="16" spans="1:21">
      <c r="A16" t="s">
        <v>10</v>
      </c>
      <c r="B16" s="10">
        <v>1157873.0459692585</v>
      </c>
      <c r="C16" s="7">
        <v>0</v>
      </c>
      <c r="D16" s="7">
        <v>0</v>
      </c>
      <c r="E16" s="7">
        <v>0</v>
      </c>
      <c r="F16" s="17">
        <f t="shared" si="0"/>
        <v>1157873.0459692585</v>
      </c>
      <c r="H16" s="4" t="s">
        <v>70</v>
      </c>
      <c r="I16" s="14">
        <v>187127479.26288062</v>
      </c>
      <c r="K16" s="10"/>
      <c r="L16" s="7"/>
      <c r="M16" s="7"/>
      <c r="N16" s="7"/>
      <c r="O16" s="7"/>
      <c r="P16" s="7"/>
      <c r="Q16" s="7"/>
      <c r="R16" s="7"/>
      <c r="S16" s="7"/>
      <c r="T16" s="7"/>
      <c r="U16" s="17"/>
    </row>
    <row r="17" spans="1:21">
      <c r="A17" t="s">
        <v>11</v>
      </c>
      <c r="B17" s="10">
        <v>13724.918509439725</v>
      </c>
      <c r="C17" s="7">
        <v>0</v>
      </c>
      <c r="D17" s="7">
        <v>0</v>
      </c>
      <c r="E17" s="7">
        <v>0</v>
      </c>
      <c r="F17" s="17">
        <f t="shared" si="0"/>
        <v>13724.918509439725</v>
      </c>
      <c r="H17" s="4"/>
      <c r="I17" s="14"/>
      <c r="K17" s="10"/>
      <c r="L17" s="7"/>
      <c r="M17" s="7"/>
      <c r="N17" s="7"/>
      <c r="O17" s="7"/>
      <c r="P17" s="7"/>
      <c r="Q17" s="7"/>
      <c r="R17" s="7"/>
      <c r="S17" s="7"/>
      <c r="T17" s="7"/>
      <c r="U17" s="17"/>
    </row>
    <row r="18" spans="1:21">
      <c r="A18" t="s">
        <v>12</v>
      </c>
      <c r="B18" s="10">
        <v>100254.46879647515</v>
      </c>
      <c r="C18" s="7">
        <v>0</v>
      </c>
      <c r="D18" s="7">
        <v>0</v>
      </c>
      <c r="E18" s="7">
        <v>0</v>
      </c>
      <c r="F18" s="17">
        <f t="shared" si="0"/>
        <v>100254.46879647515</v>
      </c>
      <c r="H18" s="4" t="s">
        <v>71</v>
      </c>
      <c r="I18" s="14"/>
      <c r="K18" s="10"/>
      <c r="L18" s="7"/>
      <c r="M18" s="7"/>
      <c r="N18" s="7"/>
      <c r="O18" s="7"/>
      <c r="P18" s="7"/>
      <c r="Q18" s="7"/>
      <c r="R18" s="7"/>
      <c r="S18" s="7"/>
      <c r="T18" s="7"/>
      <c r="U18" s="17"/>
    </row>
    <row r="19" spans="1:21">
      <c r="A19" t="s">
        <v>13</v>
      </c>
      <c r="B19" s="10">
        <v>47256152.370483674</v>
      </c>
      <c r="C19" s="7">
        <v>11440.838790915936</v>
      </c>
      <c r="D19" s="7">
        <v>0</v>
      </c>
      <c r="E19" s="7">
        <v>0</v>
      </c>
      <c r="F19" s="17">
        <f t="shared" si="0"/>
        <v>47267593.20927459</v>
      </c>
      <c r="H19" s="4" t="s">
        <v>72</v>
      </c>
      <c r="I19" s="14">
        <v>0</v>
      </c>
      <c r="K19" s="10">
        <v>37000000</v>
      </c>
      <c r="L19" s="7">
        <v>0</v>
      </c>
      <c r="M19" s="7"/>
      <c r="N19" s="7">
        <v>0</v>
      </c>
      <c r="O19" s="7">
        <v>0</v>
      </c>
      <c r="P19" s="7"/>
      <c r="Q19" s="7">
        <v>0</v>
      </c>
      <c r="R19" s="7">
        <v>0</v>
      </c>
      <c r="S19" s="7"/>
      <c r="T19" s="7">
        <v>0</v>
      </c>
      <c r="U19" s="17">
        <v>0</v>
      </c>
    </row>
    <row r="20" spans="1:21">
      <c r="A20" t="s">
        <v>14</v>
      </c>
      <c r="B20" s="10">
        <v>10857757.085969711</v>
      </c>
      <c r="C20" s="7">
        <v>0</v>
      </c>
      <c r="D20" s="7">
        <v>0</v>
      </c>
      <c r="E20" s="7">
        <v>0</v>
      </c>
      <c r="F20" s="17">
        <f t="shared" si="0"/>
        <v>10857757.085969711</v>
      </c>
      <c r="H20" s="4" t="s">
        <v>73</v>
      </c>
      <c r="I20" s="14">
        <v>473886401.20663929</v>
      </c>
      <c r="K20" s="10">
        <v>1500000</v>
      </c>
      <c r="L20" s="7">
        <v>0</v>
      </c>
      <c r="M20" s="7"/>
      <c r="N20" s="7">
        <v>0</v>
      </c>
      <c r="O20" s="7">
        <v>0</v>
      </c>
      <c r="P20" s="7"/>
      <c r="Q20" s="7">
        <v>0</v>
      </c>
      <c r="R20" s="7">
        <v>0</v>
      </c>
      <c r="S20" s="7"/>
      <c r="T20" s="7">
        <v>0</v>
      </c>
      <c r="U20" s="17">
        <v>0</v>
      </c>
    </row>
    <row r="21" spans="1:21">
      <c r="A21" t="s">
        <v>15</v>
      </c>
      <c r="B21" s="10">
        <v>19543356.598685242</v>
      </c>
      <c r="C21" s="7">
        <v>6387.7897742947098</v>
      </c>
      <c r="D21" s="7">
        <v>0</v>
      </c>
      <c r="E21" s="7">
        <v>0</v>
      </c>
      <c r="F21" s="17">
        <f t="shared" si="0"/>
        <v>19549744.388459537</v>
      </c>
      <c r="H21" s="4" t="s">
        <v>74</v>
      </c>
      <c r="I21" s="14"/>
      <c r="K21" s="10">
        <v>11100000</v>
      </c>
      <c r="L21" s="7">
        <v>0</v>
      </c>
      <c r="M21" s="7"/>
      <c r="N21" s="7">
        <v>0</v>
      </c>
      <c r="O21" s="7">
        <v>0</v>
      </c>
      <c r="P21" s="7"/>
      <c r="Q21" s="7">
        <v>0</v>
      </c>
      <c r="R21" s="7">
        <v>0</v>
      </c>
      <c r="S21" s="7"/>
      <c r="T21" s="7">
        <v>0</v>
      </c>
      <c r="U21" s="17">
        <v>0</v>
      </c>
    </row>
    <row r="22" spans="1:21">
      <c r="A22" t="s">
        <v>16</v>
      </c>
      <c r="B22" s="10">
        <v>17423741.685720794</v>
      </c>
      <c r="C22" s="7">
        <v>0</v>
      </c>
      <c r="D22" s="7">
        <v>0</v>
      </c>
      <c r="E22" s="7">
        <v>0</v>
      </c>
      <c r="F22" s="17">
        <f t="shared" si="0"/>
        <v>17423741.685720794</v>
      </c>
      <c r="H22" s="4" t="s">
        <v>75</v>
      </c>
      <c r="I22" s="14">
        <v>0</v>
      </c>
      <c r="K22" s="10">
        <v>8000000</v>
      </c>
      <c r="L22" s="7">
        <v>0</v>
      </c>
      <c r="M22" s="7"/>
      <c r="N22" s="7">
        <v>0</v>
      </c>
      <c r="O22" s="7">
        <v>0</v>
      </c>
      <c r="P22" s="7"/>
      <c r="Q22" s="7">
        <v>0</v>
      </c>
      <c r="R22" s="7">
        <v>0</v>
      </c>
      <c r="S22" s="7"/>
      <c r="T22" s="7">
        <v>0</v>
      </c>
      <c r="U22" s="17">
        <v>0</v>
      </c>
    </row>
    <row r="23" spans="1:21">
      <c r="A23" t="s">
        <v>17</v>
      </c>
      <c r="B23" s="10">
        <v>9323526.3244644366</v>
      </c>
      <c r="C23" s="7">
        <v>0</v>
      </c>
      <c r="D23" s="7">
        <v>0</v>
      </c>
      <c r="E23" s="7">
        <v>0</v>
      </c>
      <c r="F23" s="17">
        <f t="shared" si="0"/>
        <v>9323526.3244644366</v>
      </c>
      <c r="H23" s="4" t="s">
        <v>76</v>
      </c>
      <c r="I23" s="14"/>
      <c r="K23" s="10">
        <v>5400000</v>
      </c>
      <c r="L23" s="7">
        <v>0</v>
      </c>
      <c r="M23" s="7"/>
      <c r="N23" s="7">
        <v>0</v>
      </c>
      <c r="O23" s="7">
        <v>0</v>
      </c>
      <c r="P23" s="7"/>
      <c r="Q23" s="7">
        <v>0</v>
      </c>
      <c r="R23" s="7">
        <v>0</v>
      </c>
      <c r="S23" s="7"/>
      <c r="T23" s="7">
        <v>0</v>
      </c>
      <c r="U23" s="17">
        <v>0</v>
      </c>
    </row>
    <row r="24" spans="1:21">
      <c r="A24" t="s">
        <v>18</v>
      </c>
      <c r="B24" s="10">
        <v>2438344.1308094067</v>
      </c>
      <c r="C24" s="7">
        <v>0</v>
      </c>
      <c r="D24" s="7">
        <v>0</v>
      </c>
      <c r="E24" s="7">
        <v>0</v>
      </c>
      <c r="F24" s="17">
        <f t="shared" si="0"/>
        <v>2438344.1308094067</v>
      </c>
      <c r="H24" s="4" t="s">
        <v>77</v>
      </c>
      <c r="I24" s="14">
        <v>62736028.720000006</v>
      </c>
      <c r="K24" s="10"/>
      <c r="L24" s="7"/>
      <c r="M24" s="7"/>
      <c r="N24" s="7"/>
      <c r="O24" s="7"/>
      <c r="P24" s="7"/>
      <c r="Q24" s="7"/>
      <c r="R24" s="7"/>
      <c r="S24" s="7"/>
      <c r="T24" s="7"/>
      <c r="U24" s="17"/>
    </row>
    <row r="25" spans="1:21">
      <c r="A25" t="s">
        <v>19</v>
      </c>
      <c r="B25" s="10">
        <v>5729.1792131776729</v>
      </c>
      <c r="C25" s="7">
        <v>0</v>
      </c>
      <c r="D25" s="7">
        <v>0</v>
      </c>
      <c r="E25" s="7">
        <v>0</v>
      </c>
      <c r="F25" s="17">
        <f t="shared" si="0"/>
        <v>5729.1792131776729</v>
      </c>
      <c r="H25" s="4"/>
      <c r="I25" s="14"/>
      <c r="K25" s="10"/>
      <c r="L25" s="7"/>
      <c r="M25" s="7"/>
      <c r="N25" s="7"/>
      <c r="O25" s="7"/>
      <c r="P25" s="7"/>
      <c r="Q25" s="7"/>
      <c r="R25" s="7"/>
      <c r="S25" s="7"/>
      <c r="T25" s="7"/>
      <c r="U25" s="17"/>
    </row>
    <row r="26" spans="1:21">
      <c r="A26" t="s">
        <v>20</v>
      </c>
      <c r="B26" s="10">
        <v>133695.61323834865</v>
      </c>
      <c r="C26" s="7">
        <v>0</v>
      </c>
      <c r="D26" s="7">
        <v>0</v>
      </c>
      <c r="E26" s="7">
        <v>0</v>
      </c>
      <c r="F26" s="17">
        <f t="shared" si="0"/>
        <v>133695.61323834865</v>
      </c>
      <c r="H26" s="4" t="s">
        <v>78</v>
      </c>
      <c r="I26" s="14">
        <f>SUM(I10:I16)-SUM(I19:I24)</f>
        <v>292222042.14971876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292222042.14971888</v>
      </c>
      <c r="K27" s="10"/>
      <c r="L27" s="7"/>
      <c r="M27" s="7"/>
      <c r="N27" s="7"/>
      <c r="O27" s="7"/>
      <c r="P27" s="7"/>
      <c r="Q27" s="7"/>
      <c r="R27" s="7"/>
      <c r="S27" s="7"/>
      <c r="T27" s="7"/>
      <c r="U27" s="17"/>
    </row>
    <row r="28" spans="1:21">
      <c r="A28" t="s">
        <v>22</v>
      </c>
      <c r="B28" s="10">
        <v>285943.39197848155</v>
      </c>
      <c r="C28" s="7">
        <v>0</v>
      </c>
      <c r="D28" s="7">
        <v>0</v>
      </c>
      <c r="E28" s="7">
        <v>0</v>
      </c>
      <c r="F28" s="17">
        <f t="shared" si="0"/>
        <v>285943.39197848155</v>
      </c>
      <c r="H28" s="23"/>
      <c r="I28" s="25"/>
      <c r="K28" s="10"/>
      <c r="L28" s="7"/>
      <c r="M28" s="7"/>
      <c r="N28" s="7"/>
      <c r="O28" s="7"/>
      <c r="P28" s="7"/>
      <c r="Q28" s="7"/>
      <c r="R28" s="7"/>
      <c r="S28" s="7"/>
      <c r="T28" s="7"/>
      <c r="U28" s="17"/>
    </row>
    <row r="29" spans="1:21">
      <c r="A29" t="s">
        <v>23</v>
      </c>
      <c r="B29" s="10">
        <v>244989.48790407061</v>
      </c>
      <c r="C29" s="7">
        <v>0</v>
      </c>
      <c r="D29" s="7">
        <v>0</v>
      </c>
      <c r="E29" s="7">
        <v>0</v>
      </c>
      <c r="F29" s="17">
        <f t="shared" si="0"/>
        <v>244989.48790407061</v>
      </c>
      <c r="K29" s="10"/>
      <c r="L29" s="7"/>
      <c r="M29" s="7"/>
      <c r="N29" s="7"/>
      <c r="O29" s="7"/>
      <c r="P29" s="7"/>
      <c r="Q29" s="7"/>
      <c r="R29" s="7"/>
      <c r="S29" s="7"/>
      <c r="T29" s="7"/>
      <c r="U29" s="17"/>
    </row>
    <row r="30" spans="1:21">
      <c r="A30" t="s">
        <v>24</v>
      </c>
      <c r="B30" s="10">
        <v>-9349.8735536724562</v>
      </c>
      <c r="C30" s="7">
        <v>0</v>
      </c>
      <c r="D30" s="7">
        <v>0</v>
      </c>
      <c r="E30" s="7">
        <v>0</v>
      </c>
      <c r="F30" s="17">
        <f t="shared" si="0"/>
        <v>-9349.8735536724562</v>
      </c>
      <c r="K30" s="10"/>
      <c r="L30" s="7"/>
      <c r="M30" s="7"/>
      <c r="N30" s="7"/>
      <c r="O30" s="7"/>
      <c r="P30" s="7"/>
      <c r="Q30" s="7"/>
      <c r="R30" s="7"/>
      <c r="S30" s="7"/>
      <c r="T30" s="7"/>
      <c r="U30" s="17"/>
    </row>
    <row r="31" spans="1:21">
      <c r="A31" t="s">
        <v>25</v>
      </c>
      <c r="B31" s="10">
        <v>124414757.46263075</v>
      </c>
      <c r="C31" s="7">
        <v>153684.19375646065</v>
      </c>
      <c r="D31" s="7">
        <v>0</v>
      </c>
      <c r="E31" s="7">
        <v>0</v>
      </c>
      <c r="F31" s="17">
        <f t="shared" si="0"/>
        <v>124568441.65638721</v>
      </c>
      <c r="K31" s="10">
        <v>33995930</v>
      </c>
      <c r="L31" s="7">
        <v>0</v>
      </c>
      <c r="M31" s="7"/>
      <c r="N31" s="7">
        <v>0</v>
      </c>
      <c r="O31" s="7">
        <v>0</v>
      </c>
      <c r="P31" s="7"/>
      <c r="Q31" s="7">
        <v>0</v>
      </c>
      <c r="R31" s="7">
        <v>0</v>
      </c>
      <c r="S31" s="7"/>
      <c r="T31" s="7">
        <v>0</v>
      </c>
      <c r="U31" s="17">
        <v>0</v>
      </c>
    </row>
    <row r="32" spans="1:21">
      <c r="A32" t="s">
        <v>26</v>
      </c>
      <c r="B32" s="10">
        <v>63099.733225412492</v>
      </c>
      <c r="C32" s="7">
        <v>0</v>
      </c>
      <c r="D32" s="7">
        <v>0</v>
      </c>
      <c r="E32" s="7">
        <v>0</v>
      </c>
      <c r="F32" s="17">
        <f t="shared" si="0"/>
        <v>63099.733225412492</v>
      </c>
      <c r="K32" s="10"/>
      <c r="L32" s="7"/>
      <c r="M32" s="7"/>
      <c r="N32" s="7"/>
      <c r="O32" s="7"/>
      <c r="P32" s="7"/>
      <c r="Q32" s="7"/>
      <c r="R32" s="7"/>
      <c r="S32" s="7"/>
      <c r="T32" s="7"/>
      <c r="U32" s="17"/>
    </row>
    <row r="33" spans="1:21">
      <c r="A33" t="s">
        <v>27</v>
      </c>
      <c r="B33" s="10">
        <v>3604385.8363546035</v>
      </c>
      <c r="C33" s="7">
        <v>0</v>
      </c>
      <c r="D33" s="7">
        <v>0</v>
      </c>
      <c r="E33" s="7">
        <v>0</v>
      </c>
      <c r="F33" s="17">
        <f t="shared" si="0"/>
        <v>3604385.8363546035</v>
      </c>
      <c r="K33" s="10"/>
      <c r="L33" s="7"/>
      <c r="M33" s="7"/>
      <c r="N33" s="7"/>
      <c r="O33" s="7"/>
      <c r="P33" s="7"/>
      <c r="Q33" s="7"/>
      <c r="R33" s="7"/>
      <c r="S33" s="7"/>
      <c r="T33" s="7"/>
      <c r="U33" s="17"/>
    </row>
    <row r="34" spans="1:21">
      <c r="A34" t="s">
        <v>28</v>
      </c>
      <c r="B34" s="10">
        <v>75925.883571853235</v>
      </c>
      <c r="C34" s="7">
        <v>0</v>
      </c>
      <c r="D34" s="7">
        <v>0</v>
      </c>
      <c r="E34" s="7">
        <v>0</v>
      </c>
      <c r="F34" s="17">
        <f t="shared" si="0"/>
        <v>75925.883571853235</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107938.36121132362</v>
      </c>
      <c r="C37" s="7">
        <v>0</v>
      </c>
      <c r="D37" s="7">
        <v>0</v>
      </c>
      <c r="E37" s="7">
        <v>0</v>
      </c>
      <c r="F37" s="17">
        <f t="shared" si="0"/>
        <v>107938.36121132362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-499368.79512542789</v>
      </c>
      <c r="C39" s="7">
        <v>0</v>
      </c>
      <c r="D39" s="7">
        <v>0</v>
      </c>
      <c r="E39" s="7">
        <v>0</v>
      </c>
      <c r="F39" s="17">
        <f t="shared" si="1"/>
        <v>-499368.79512542789</v>
      </c>
      <c r="K39" s="10"/>
      <c r="L39" s="7"/>
      <c r="M39" s="7"/>
      <c r="N39" s="7"/>
      <c r="O39" s="7"/>
      <c r="P39" s="7"/>
      <c r="Q39" s="7"/>
      <c r="R39" s="7"/>
      <c r="S39" s="7"/>
      <c r="T39" s="7"/>
      <c r="U39" s="17"/>
    </row>
    <row r="40" spans="1:21">
      <c r="A40" t="s">
        <v>34</v>
      </c>
      <c r="B40" s="10">
        <v>7714.185629965159</v>
      </c>
      <c r="C40" s="7">
        <v>0</v>
      </c>
      <c r="D40" s="7">
        <v>0</v>
      </c>
      <c r="E40" s="7">
        <v>0</v>
      </c>
      <c r="F40" s="17">
        <f t="shared" si="1"/>
        <v>7714.185629965159</v>
      </c>
      <c r="K40" s="10"/>
      <c r="L40" s="7"/>
      <c r="M40" s="7"/>
      <c r="N40" s="7"/>
      <c r="O40" s="7"/>
      <c r="P40" s="7"/>
      <c r="Q40" s="7"/>
      <c r="R40" s="7"/>
      <c r="S40" s="7"/>
      <c r="T40" s="7"/>
      <c r="U40" s="17"/>
    </row>
    <row r="41" spans="1:21">
      <c r="A41" t="s">
        <v>35</v>
      </c>
      <c r="B41" s="10">
        <v>15024981.893842699</v>
      </c>
      <c r="C41" s="7">
        <v>0</v>
      </c>
      <c r="D41" s="7">
        <v>0</v>
      </c>
      <c r="E41" s="7">
        <v>0</v>
      </c>
      <c r="F41" s="17">
        <f t="shared" si="1"/>
        <v>15024981.893842699</v>
      </c>
      <c r="K41" s="10">
        <v>7600000</v>
      </c>
      <c r="L41" s="7">
        <v>0</v>
      </c>
      <c r="M41" s="7"/>
      <c r="N41" s="7">
        <v>0</v>
      </c>
      <c r="O41" s="7">
        <v>0</v>
      </c>
      <c r="P41" s="7"/>
      <c r="Q41" s="7">
        <v>0</v>
      </c>
      <c r="R41" s="7">
        <v>0</v>
      </c>
      <c r="S41" s="7"/>
      <c r="T41" s="7">
        <v>0</v>
      </c>
      <c r="U41" s="17">
        <v>0</v>
      </c>
    </row>
    <row r="42" spans="1:21">
      <c r="A42" t="s">
        <v>36</v>
      </c>
      <c r="B42" s="10">
        <v>13477742.623267312</v>
      </c>
      <c r="C42" s="7">
        <v>0</v>
      </c>
      <c r="D42" s="7">
        <v>0</v>
      </c>
      <c r="E42" s="7">
        <v>0</v>
      </c>
      <c r="F42" s="17">
        <f t="shared" si="1"/>
        <v>13477742.623267312</v>
      </c>
      <c r="K42" s="10">
        <v>7700000</v>
      </c>
      <c r="L42" s="7">
        <v>0</v>
      </c>
      <c r="M42" s="7"/>
      <c r="N42" s="7">
        <v>0</v>
      </c>
      <c r="O42" s="7">
        <v>0</v>
      </c>
      <c r="P42" s="7"/>
      <c r="Q42" s="7">
        <v>0</v>
      </c>
      <c r="R42" s="7">
        <v>0</v>
      </c>
      <c r="S42" s="7"/>
      <c r="T42" s="7">
        <v>0</v>
      </c>
      <c r="U42" s="17">
        <v>0</v>
      </c>
    </row>
    <row r="43" spans="1:21">
      <c r="A43" t="s">
        <v>37</v>
      </c>
      <c r="B43" s="10">
        <v>114278.83987316935</v>
      </c>
      <c r="C43" s="7">
        <v>0</v>
      </c>
      <c r="D43" s="7">
        <v>0</v>
      </c>
      <c r="E43" s="7">
        <v>0</v>
      </c>
      <c r="F43" s="17">
        <f t="shared" si="1"/>
        <v>114278.83987316935</v>
      </c>
      <c r="K43" s="10"/>
      <c r="L43" s="7"/>
      <c r="M43" s="7"/>
      <c r="N43" s="7"/>
      <c r="O43" s="7"/>
      <c r="P43" s="7"/>
      <c r="Q43" s="7"/>
      <c r="R43" s="7"/>
      <c r="S43" s="7"/>
      <c r="T43" s="7"/>
      <c r="U43" s="17"/>
    </row>
    <row r="44" spans="1:21">
      <c r="A44" t="s">
        <v>38</v>
      </c>
      <c r="B44" s="10">
        <v>2409177.2103380715</v>
      </c>
      <c r="C44" s="7">
        <v>11565.415071106043</v>
      </c>
      <c r="D44" s="7">
        <v>0</v>
      </c>
      <c r="E44" s="7">
        <v>0</v>
      </c>
      <c r="F44" s="17">
        <f t="shared" si="1"/>
        <v>2420742.6254091775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10168.331959502502</v>
      </c>
      <c r="C46" s="7">
        <v>0</v>
      </c>
      <c r="D46" s="7">
        <v>0</v>
      </c>
      <c r="E46" s="7">
        <v>0</v>
      </c>
      <c r="F46" s="17">
        <f t="shared" si="1"/>
        <v>10168.331959502502</v>
      </c>
      <c r="K46" s="10">
        <v>20000</v>
      </c>
      <c r="L46" s="7">
        <v>0</v>
      </c>
      <c r="M46" s="7"/>
      <c r="N46" s="7">
        <v>0</v>
      </c>
      <c r="O46" s="7">
        <v>0</v>
      </c>
      <c r="P46" s="7"/>
      <c r="Q46" s="7">
        <v>0</v>
      </c>
      <c r="R46" s="7">
        <v>0</v>
      </c>
      <c r="S46" s="7"/>
      <c r="T46" s="7">
        <v>0</v>
      </c>
      <c r="U46" s="17">
        <v>0</v>
      </c>
    </row>
    <row r="47" spans="1:21">
      <c r="A47" t="s">
        <v>41</v>
      </c>
      <c r="B47" s="10">
        <v>-179193.33404581246</v>
      </c>
      <c r="C47" s="7">
        <v>0</v>
      </c>
      <c r="D47" s="7">
        <v>0</v>
      </c>
      <c r="E47" s="7">
        <v>0</v>
      </c>
      <c r="F47" s="17">
        <f t="shared" si="1"/>
        <v>-179193.33404581246</v>
      </c>
      <c r="K47" s="10"/>
      <c r="L47" s="7"/>
      <c r="M47" s="7"/>
      <c r="N47" s="7"/>
      <c r="O47" s="7"/>
      <c r="P47" s="7"/>
      <c r="Q47" s="7"/>
      <c r="R47" s="7"/>
      <c r="S47" s="7"/>
      <c r="T47" s="7"/>
      <c r="U47" s="17"/>
    </row>
    <row r="48" spans="1:21">
      <c r="A48" t="s">
        <v>42</v>
      </c>
      <c r="B48" s="10">
        <v>117572.52488527907</v>
      </c>
      <c r="C48" s="7">
        <v>0</v>
      </c>
      <c r="D48" s="7">
        <v>0</v>
      </c>
      <c r="E48" s="7">
        <v>0</v>
      </c>
      <c r="F48" s="17">
        <f t="shared" si="1"/>
        <v>117572.52488527907</v>
      </c>
      <c r="K48" s="10"/>
      <c r="L48" s="7"/>
      <c r="M48" s="7"/>
      <c r="N48" s="7"/>
      <c r="O48" s="7"/>
      <c r="P48" s="7"/>
      <c r="Q48" s="7"/>
      <c r="R48" s="7"/>
      <c r="S48" s="7"/>
      <c r="T48" s="7"/>
      <c r="U48" s="17"/>
    </row>
    <row r="49" spans="1:21">
      <c r="A49" t="s">
        <v>43</v>
      </c>
      <c r="B49" s="10">
        <v>5514752.6875683572</v>
      </c>
      <c r="C49" s="7">
        <v>3214.3297684940917</v>
      </c>
      <c r="D49" s="7">
        <v>0</v>
      </c>
      <c r="E49" s="7">
        <v>0</v>
      </c>
      <c r="F49" s="17">
        <f t="shared" si="1"/>
        <v>5517967.017336851</v>
      </c>
      <c r="K49" s="10"/>
      <c r="L49" s="7"/>
      <c r="M49" s="7"/>
      <c r="N49" s="7"/>
      <c r="O49" s="7"/>
      <c r="P49" s="7"/>
      <c r="Q49" s="7"/>
      <c r="R49" s="7"/>
      <c r="S49" s="7"/>
      <c r="T49" s="7"/>
      <c r="U49" s="17"/>
    </row>
    <row r="50" spans="1:21">
      <c r="A50" t="s">
        <v>44</v>
      </c>
      <c r="B50" s="10">
        <v>3300719.383722269</v>
      </c>
      <c r="C50" s="7">
        <v>8288.2991730650738</v>
      </c>
      <c r="D50" s="7">
        <v>0</v>
      </c>
      <c r="E50" s="7">
        <v>0</v>
      </c>
      <c r="F50" s="17">
        <f t="shared" si="1"/>
        <v>3309007.682895334</v>
      </c>
      <c r="K50" s="10">
        <v>19061000</v>
      </c>
      <c r="L50" s="7">
        <v>0</v>
      </c>
      <c r="M50" s="7"/>
      <c r="N50" s="7">
        <v>0</v>
      </c>
      <c r="O50" s="7">
        <v>0</v>
      </c>
      <c r="P50" s="7"/>
      <c r="Q50" s="7">
        <v>0</v>
      </c>
      <c r="R50" s="7">
        <v>0</v>
      </c>
      <c r="S50" s="7"/>
      <c r="T50" s="7">
        <v>0</v>
      </c>
      <c r="U50" s="17">
        <v>0</v>
      </c>
    </row>
    <row r="51" spans="1:21">
      <c r="A51" t="s">
        <v>45</v>
      </c>
      <c r="B51" s="10">
        <v>41985.948418157961</v>
      </c>
      <c r="C51" s="7">
        <v>0</v>
      </c>
      <c r="D51" s="7">
        <v>0</v>
      </c>
      <c r="E51" s="7">
        <v>0</v>
      </c>
      <c r="F51" s="17">
        <f t="shared" si="1"/>
        <v>41985.948418157961</v>
      </c>
      <c r="K51" s="10"/>
      <c r="L51" s="7"/>
      <c r="M51" s="7"/>
      <c r="N51" s="7"/>
      <c r="O51" s="7"/>
      <c r="P51" s="7"/>
      <c r="Q51" s="7"/>
      <c r="R51" s="7"/>
      <c r="S51" s="7"/>
      <c r="T51" s="7"/>
      <c r="U51" s="17"/>
    </row>
    <row r="52" spans="1:21">
      <c r="A52" t="s">
        <v>46</v>
      </c>
      <c r="B52" s="10">
        <v>1817.1717070649411</v>
      </c>
      <c r="C52" s="7">
        <v>0</v>
      </c>
      <c r="D52" s="7">
        <v>0</v>
      </c>
      <c r="E52" s="7">
        <v>0</v>
      </c>
      <c r="F52" s="17">
        <f t="shared" si="1"/>
        <v>1817.1717070649411</v>
      </c>
      <c r="K52" s="10"/>
      <c r="L52" s="7"/>
      <c r="M52" s="7"/>
      <c r="N52" s="7"/>
      <c r="O52" s="7"/>
      <c r="P52" s="7"/>
      <c r="Q52" s="7"/>
      <c r="R52" s="7"/>
      <c r="S52" s="7"/>
      <c r="T52" s="7"/>
      <c r="U52" s="17"/>
    </row>
    <row r="53" spans="1:21">
      <c r="A53" t="s">
        <v>47</v>
      </c>
      <c r="B53" s="10">
        <v>47261.606878107472</v>
      </c>
      <c r="C53" s="7">
        <v>339.20367042548514</v>
      </c>
      <c r="D53" s="7">
        <v>0</v>
      </c>
      <c r="E53" s="7">
        <v>0</v>
      </c>
      <c r="F53" s="17">
        <f t="shared" si="1"/>
        <v>47600.810548532958</v>
      </c>
      <c r="K53" s="10"/>
      <c r="L53" s="7"/>
      <c r="M53" s="7"/>
      <c r="N53" s="7"/>
      <c r="O53" s="7"/>
      <c r="P53" s="7"/>
      <c r="Q53" s="7"/>
      <c r="R53" s="7"/>
      <c r="S53" s="7"/>
      <c r="T53" s="7"/>
      <c r="U53" s="17"/>
    </row>
    <row r="54" spans="1:21">
      <c r="A54" t="s">
        <v>48</v>
      </c>
      <c r="B54" s="10">
        <v>106479.11245142765</v>
      </c>
      <c r="C54" s="7">
        <v>0</v>
      </c>
      <c r="D54" s="7">
        <v>0</v>
      </c>
      <c r="E54" s="7">
        <v>0</v>
      </c>
      <c r="F54" s="17">
        <f t="shared" si="1"/>
        <v>106479.11245142765</v>
      </c>
      <c r="K54" s="10"/>
      <c r="L54" s="7"/>
      <c r="M54" s="7"/>
      <c r="N54" s="7"/>
      <c r="O54" s="7"/>
      <c r="P54" s="7"/>
      <c r="Q54" s="7"/>
      <c r="R54" s="7"/>
      <c r="S54" s="7"/>
      <c r="T54" s="7"/>
      <c r="U54" s="17"/>
    </row>
    <row r="55" spans="1:21">
      <c r="A55" t="s">
        <v>49</v>
      </c>
      <c r="B55" s="10">
        <v>45385.135427350935</v>
      </c>
      <c r="C55" s="7">
        <v>0</v>
      </c>
      <c r="D55" s="7">
        <v>0</v>
      </c>
      <c r="E55" s="7">
        <v>0</v>
      </c>
      <c r="F55" s="17">
        <f t="shared" si="1"/>
        <v>45385.135427350935</v>
      </c>
      <c r="K55" s="10">
        <v>150000</v>
      </c>
      <c r="L55" s="7">
        <v>0</v>
      </c>
      <c r="M55" s="7"/>
      <c r="N55" s="7">
        <v>0</v>
      </c>
      <c r="O55" s="7">
        <v>0</v>
      </c>
      <c r="P55" s="7"/>
      <c r="Q55" s="7">
        <v>0</v>
      </c>
      <c r="R55" s="7">
        <v>0</v>
      </c>
      <c r="S55" s="7"/>
      <c r="T55" s="7">
        <v>0</v>
      </c>
      <c r="U55" s="17">
        <v>0</v>
      </c>
    </row>
    <row r="56" spans="1:21">
      <c r="A56" t="s">
        <v>50</v>
      </c>
      <c r="B56" s="10">
        <v>436834.18465486972</v>
      </c>
      <c r="C56" s="7">
        <v>0</v>
      </c>
      <c r="D56" s="7">
        <v>0</v>
      </c>
      <c r="E56" s="7">
        <v>0</v>
      </c>
      <c r="F56" s="17">
        <f t="shared" si="1"/>
        <v>436834.18465486972</v>
      </c>
      <c r="K56" s="10"/>
      <c r="L56" s="7"/>
      <c r="M56" s="7"/>
      <c r="N56" s="7"/>
      <c r="O56" s="7"/>
      <c r="P56" s="7"/>
      <c r="Q56" s="7"/>
      <c r="R56" s="7"/>
      <c r="S56" s="7"/>
      <c r="T56" s="7"/>
      <c r="U56" s="17"/>
    </row>
    <row r="57" spans="1:21">
      <c r="A57" t="s">
        <v>51</v>
      </c>
      <c r="B57" s="10">
        <v>33847.923057384622</v>
      </c>
      <c r="C57" s="7">
        <v>0</v>
      </c>
      <c r="D57" s="7">
        <v>0</v>
      </c>
      <c r="E57" s="7">
        <v>0</v>
      </c>
      <c r="F57" s="17">
        <f t="shared" si="1"/>
        <v>33847.923057384622</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291785160.944727</v>
      </c>
      <c r="C60" s="7">
        <f>SUM(C6:C58)</f>
        <v>436881.20499182475</v>
      </c>
      <c r="D60" s="7">
        <f>SUM(D6:D58)</f>
        <v>0</v>
      </c>
      <c r="E60" s="7">
        <f>SUM(E6:E58)</f>
        <v>0</v>
      </c>
      <c r="F60" s="17">
        <f>SUM(F6:F58)</f>
        <v>292222042.14971888</v>
      </c>
      <c r="K60" s="10">
        <f>SUM(K6:K58)</f>
        <v>131626160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110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443674.5882744749</v>
      </c>
      <c r="D6" s="7">
        <v>0</v>
      </c>
      <c r="E6" s="7">
        <v>0</v>
      </c>
      <c r="F6" s="17">
        <f t="shared" ref="F6:F37" si="0">SUM(B6:E6)</f>
        <v>443674.5882744749</v>
      </c>
      <c r="K6" s="10"/>
      <c r="L6" s="7"/>
      <c r="M6" s="7"/>
      <c r="N6" s="7"/>
      <c r="O6" s="7"/>
      <c r="P6" s="7"/>
      <c r="Q6" s="7"/>
      <c r="R6" s="7"/>
      <c r="S6" s="7"/>
      <c r="T6" s="7"/>
      <c r="U6" s="17"/>
    </row>
    <row r="7" spans="1:21">
      <c r="A7" t="s">
        <v>1</v>
      </c>
      <c r="B7" s="10">
        <v>0</v>
      </c>
      <c r="C7" s="7">
        <v>13507.159139116076</v>
      </c>
      <c r="D7" s="7">
        <v>0</v>
      </c>
      <c r="E7" s="7">
        <v>0</v>
      </c>
      <c r="F7" s="17">
        <f t="shared" si="0"/>
        <v>13507.159139116076</v>
      </c>
      <c r="H7" s="22"/>
      <c r="I7" s="24"/>
      <c r="K7" s="10"/>
      <c r="L7" s="7"/>
      <c r="M7" s="7"/>
      <c r="N7" s="7"/>
      <c r="O7" s="7"/>
      <c r="P7" s="7"/>
      <c r="Q7" s="7"/>
      <c r="R7" s="7"/>
      <c r="S7" s="7"/>
      <c r="T7" s="7"/>
      <c r="U7" s="17"/>
    </row>
    <row r="8" spans="1:21">
      <c r="A8" t="s">
        <v>2</v>
      </c>
      <c r="B8" s="10">
        <v>0</v>
      </c>
      <c r="C8" s="7">
        <v>1353295.852340929</v>
      </c>
      <c r="D8" s="7">
        <v>0</v>
      </c>
      <c r="E8" s="7">
        <v>0</v>
      </c>
      <c r="F8" s="17">
        <f t="shared" si="0"/>
        <v>1353295.852340929</v>
      </c>
      <c r="H8" s="4" t="s">
        <v>64</v>
      </c>
      <c r="I8" s="13"/>
      <c r="K8" s="10"/>
      <c r="L8" s="7"/>
      <c r="M8" s="7"/>
      <c r="N8" s="7"/>
      <c r="O8" s="7"/>
      <c r="P8" s="7"/>
      <c r="Q8" s="7"/>
      <c r="R8" s="7"/>
      <c r="S8" s="7"/>
      <c r="T8" s="7"/>
      <c r="U8" s="17"/>
    </row>
    <row r="9" spans="1:21">
      <c r="A9" t="s">
        <v>3</v>
      </c>
      <c r="B9" s="10">
        <v>0</v>
      </c>
      <c r="C9" s="7">
        <v>533987.17492647097</v>
      </c>
      <c r="D9" s="7">
        <v>0</v>
      </c>
      <c r="E9" s="7">
        <v>0</v>
      </c>
      <c r="F9" s="17">
        <f t="shared" si="0"/>
        <v>533987.17492647097</v>
      </c>
      <c r="H9" s="4"/>
      <c r="I9" s="13"/>
      <c r="K9" s="10">
        <v>658068</v>
      </c>
      <c r="L9" s="7">
        <v>0</v>
      </c>
      <c r="M9" s="7"/>
      <c r="N9" s="7">
        <v>0</v>
      </c>
      <c r="O9" s="7">
        <v>0</v>
      </c>
      <c r="P9" s="7"/>
      <c r="Q9" s="7">
        <v>0</v>
      </c>
      <c r="R9" s="7">
        <v>0</v>
      </c>
      <c r="S9" s="7"/>
      <c r="T9" s="7">
        <v>0</v>
      </c>
      <c r="U9" s="17">
        <v>0</v>
      </c>
    </row>
    <row r="10" spans="1:21">
      <c r="A10" t="s">
        <v>4</v>
      </c>
      <c r="B10" s="10">
        <v>0</v>
      </c>
      <c r="C10" s="7">
        <v>11061887.656738207</v>
      </c>
      <c r="D10" s="7">
        <v>0</v>
      </c>
      <c r="E10" s="7">
        <v>0</v>
      </c>
      <c r="F10" s="17">
        <f t="shared" si="0"/>
        <v>11061887.656738207</v>
      </c>
      <c r="H10" s="4" t="s">
        <v>65</v>
      </c>
      <c r="I10" s="14">
        <v>1335156397.4969995</v>
      </c>
      <c r="K10" s="10">
        <v>0</v>
      </c>
      <c r="L10" s="7">
        <v>0</v>
      </c>
      <c r="M10" s="7"/>
      <c r="N10" s="7">
        <v>15000000</v>
      </c>
      <c r="O10" s="7">
        <v>0</v>
      </c>
      <c r="P10" s="7"/>
      <c r="Q10" s="7">
        <v>0</v>
      </c>
      <c r="R10" s="7">
        <v>0</v>
      </c>
      <c r="S10" s="7"/>
      <c r="T10" s="7">
        <v>0</v>
      </c>
      <c r="U10" s="17">
        <v>0</v>
      </c>
    </row>
    <row r="11" spans="1:21">
      <c r="A11" t="s">
        <v>5</v>
      </c>
      <c r="B11" s="10">
        <v>0</v>
      </c>
      <c r="C11" s="7">
        <v>1823551.4569641231</v>
      </c>
      <c r="D11" s="7">
        <v>0</v>
      </c>
      <c r="E11" s="7">
        <v>0</v>
      </c>
      <c r="F11" s="17">
        <f t="shared" si="0"/>
        <v>1823551.4569641231</v>
      </c>
      <c r="H11" s="4"/>
      <c r="I11" s="14"/>
      <c r="K11" s="10">
        <v>0</v>
      </c>
      <c r="L11" s="7">
        <v>0</v>
      </c>
      <c r="M11" s="7"/>
      <c r="N11" s="7">
        <v>2497230</v>
      </c>
      <c r="O11" s="7">
        <v>0</v>
      </c>
      <c r="P11" s="7"/>
      <c r="Q11" s="7">
        <v>0</v>
      </c>
      <c r="R11" s="7">
        <v>166536</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138483.90889442427</v>
      </c>
      <c r="D13" s="7">
        <v>0</v>
      </c>
      <c r="E13" s="7">
        <v>0</v>
      </c>
      <c r="F13" s="17">
        <f t="shared" si="0"/>
        <v>138483.90889442427</v>
      </c>
      <c r="H13" s="4" t="s">
        <v>67</v>
      </c>
      <c r="I13" s="14">
        <v>215140272.63000038</v>
      </c>
      <c r="K13" s="10"/>
      <c r="L13" s="7"/>
      <c r="M13" s="7"/>
      <c r="N13" s="7"/>
      <c r="O13" s="7"/>
      <c r="P13" s="7"/>
      <c r="Q13" s="7"/>
      <c r="R13" s="7"/>
      <c r="S13" s="7"/>
      <c r="T13" s="7"/>
      <c r="U13" s="17"/>
    </row>
    <row r="14" spans="1:21">
      <c r="A14" t="s">
        <v>8</v>
      </c>
      <c r="B14" s="10">
        <v>0</v>
      </c>
      <c r="C14" s="7">
        <v>44272.056089889011</v>
      </c>
      <c r="D14" s="7">
        <v>0</v>
      </c>
      <c r="E14" s="7">
        <v>0</v>
      </c>
      <c r="F14" s="17">
        <f t="shared" si="0"/>
        <v>44272.056089889011</v>
      </c>
      <c r="H14" s="4" t="s">
        <v>68</v>
      </c>
      <c r="I14" s="14">
        <v>2392297.8400000003</v>
      </c>
      <c r="K14" s="10">
        <v>0</v>
      </c>
      <c r="L14" s="7">
        <v>0</v>
      </c>
      <c r="M14" s="7"/>
      <c r="N14" s="7">
        <v>98000</v>
      </c>
      <c r="O14" s="7">
        <v>38000</v>
      </c>
      <c r="P14" s="7"/>
      <c r="Q14" s="7">
        <v>0</v>
      </c>
      <c r="R14" s="7">
        <v>0</v>
      </c>
      <c r="S14" s="7"/>
      <c r="T14" s="7">
        <v>0</v>
      </c>
      <c r="U14" s="17">
        <v>0</v>
      </c>
    </row>
    <row r="15" spans="1:21">
      <c r="A15" t="s">
        <v>9</v>
      </c>
      <c r="B15" s="10">
        <v>0</v>
      </c>
      <c r="C15" s="7">
        <v>7314928.0485680066</v>
      </c>
      <c r="D15" s="7">
        <v>0</v>
      </c>
      <c r="E15" s="7">
        <v>0</v>
      </c>
      <c r="F15" s="17">
        <f t="shared" si="0"/>
        <v>7314928.0485680066</v>
      </c>
      <c r="H15" s="4" t="s">
        <v>69</v>
      </c>
      <c r="I15" s="14">
        <v>3228631.5470000007</v>
      </c>
      <c r="K15" s="10"/>
      <c r="L15" s="7"/>
      <c r="M15" s="7"/>
      <c r="N15" s="7"/>
      <c r="O15" s="7"/>
      <c r="P15" s="7"/>
      <c r="Q15" s="7"/>
      <c r="R15" s="7"/>
      <c r="S15" s="7"/>
      <c r="T15" s="7"/>
      <c r="U15" s="17"/>
    </row>
    <row r="16" spans="1:21">
      <c r="A16" t="s">
        <v>10</v>
      </c>
      <c r="B16" s="10">
        <v>0</v>
      </c>
      <c r="C16" s="7">
        <v>1435416.5376057026</v>
      </c>
      <c r="D16" s="7">
        <v>0</v>
      </c>
      <c r="E16" s="7">
        <v>0</v>
      </c>
      <c r="F16" s="17">
        <f t="shared" si="0"/>
        <v>1435416.5376057026</v>
      </c>
      <c r="H16" s="4" t="s">
        <v>70</v>
      </c>
      <c r="I16" s="14">
        <v>0</v>
      </c>
      <c r="K16" s="10"/>
      <c r="L16" s="7"/>
      <c r="M16" s="7"/>
      <c r="N16" s="7"/>
      <c r="O16" s="7"/>
      <c r="P16" s="7"/>
      <c r="Q16" s="7"/>
      <c r="R16" s="7"/>
      <c r="S16" s="7"/>
      <c r="T16" s="7"/>
      <c r="U16" s="17"/>
    </row>
    <row r="17" spans="1:21">
      <c r="A17" t="s">
        <v>11</v>
      </c>
      <c r="B17" s="10">
        <v>0</v>
      </c>
      <c r="C17" s="7">
        <v>78245.529595991262</v>
      </c>
      <c r="D17" s="7">
        <v>0</v>
      </c>
      <c r="E17" s="7">
        <v>0</v>
      </c>
      <c r="F17" s="17">
        <f t="shared" si="0"/>
        <v>78245.529595991262</v>
      </c>
      <c r="H17" s="4"/>
      <c r="I17" s="14"/>
      <c r="K17" s="10"/>
      <c r="L17" s="7"/>
      <c r="M17" s="7"/>
      <c r="N17" s="7"/>
      <c r="O17" s="7"/>
      <c r="P17" s="7"/>
      <c r="Q17" s="7"/>
      <c r="R17" s="7"/>
      <c r="S17" s="7"/>
      <c r="T17" s="7"/>
      <c r="U17" s="17"/>
    </row>
    <row r="18" spans="1:21">
      <c r="A18" t="s">
        <v>12</v>
      </c>
      <c r="B18" s="10">
        <v>0</v>
      </c>
      <c r="C18" s="7">
        <v>125156.1641181661</v>
      </c>
      <c r="D18" s="7">
        <v>0</v>
      </c>
      <c r="E18" s="7">
        <v>0</v>
      </c>
      <c r="F18" s="17">
        <f t="shared" si="0"/>
        <v>125156.1641181661</v>
      </c>
      <c r="H18" s="4" t="s">
        <v>71</v>
      </c>
      <c r="I18" s="14"/>
      <c r="K18" s="10"/>
      <c r="L18" s="7"/>
      <c r="M18" s="7"/>
      <c r="N18" s="7"/>
      <c r="O18" s="7"/>
      <c r="P18" s="7"/>
      <c r="Q18" s="7"/>
      <c r="R18" s="7"/>
      <c r="S18" s="7"/>
      <c r="T18" s="7"/>
      <c r="U18" s="17"/>
    </row>
    <row r="19" spans="1:21">
      <c r="A19" t="s">
        <v>13</v>
      </c>
      <c r="B19" s="10">
        <v>0</v>
      </c>
      <c r="C19" s="7">
        <v>2212008.4125822475</v>
      </c>
      <c r="D19" s="7">
        <v>0</v>
      </c>
      <c r="E19" s="7">
        <v>0</v>
      </c>
      <c r="F19" s="17">
        <f t="shared" si="0"/>
        <v>2212008.4125822475</v>
      </c>
      <c r="H19" s="4" t="s">
        <v>72</v>
      </c>
      <c r="I19" s="14">
        <v>1025571208.7099997</v>
      </c>
      <c r="K19" s="10">
        <v>0</v>
      </c>
      <c r="L19" s="7">
        <v>0</v>
      </c>
      <c r="M19" s="7"/>
      <c r="N19" s="7">
        <v>3500000</v>
      </c>
      <c r="O19" s="7">
        <v>750000</v>
      </c>
      <c r="P19" s="7"/>
      <c r="Q19" s="7">
        <v>0</v>
      </c>
      <c r="R19" s="7">
        <v>0</v>
      </c>
      <c r="S19" s="7"/>
      <c r="T19" s="7">
        <v>0</v>
      </c>
      <c r="U19" s="17">
        <v>0</v>
      </c>
    </row>
    <row r="20" spans="1:21">
      <c r="A20" t="s">
        <v>14</v>
      </c>
      <c r="B20" s="10">
        <v>0</v>
      </c>
      <c r="C20" s="7">
        <v>5439493.9290801948</v>
      </c>
      <c r="D20" s="7">
        <v>0</v>
      </c>
      <c r="E20" s="7">
        <v>0</v>
      </c>
      <c r="F20" s="17">
        <f t="shared" si="0"/>
        <v>5439493.9290801948</v>
      </c>
      <c r="H20" s="4" t="s">
        <v>73</v>
      </c>
      <c r="I20" s="14">
        <v>225230405.92700028</v>
      </c>
      <c r="K20" s="10"/>
      <c r="L20" s="7"/>
      <c r="M20" s="7"/>
      <c r="N20" s="7"/>
      <c r="O20" s="7"/>
      <c r="P20" s="7"/>
      <c r="Q20" s="7"/>
      <c r="R20" s="7"/>
      <c r="S20" s="7"/>
      <c r="T20" s="7"/>
      <c r="U20" s="17"/>
    </row>
    <row r="21" spans="1:21">
      <c r="A21" t="s">
        <v>15</v>
      </c>
      <c r="B21" s="10">
        <v>0</v>
      </c>
      <c r="C21" s="7">
        <v>1091477.1234929389</v>
      </c>
      <c r="D21" s="7">
        <v>0</v>
      </c>
      <c r="E21" s="7">
        <v>0</v>
      </c>
      <c r="F21" s="17">
        <f t="shared" si="0"/>
        <v>1091477.1234929389</v>
      </c>
      <c r="H21" s="4" t="s">
        <v>74</v>
      </c>
      <c r="I21" s="14"/>
      <c r="K21" s="10"/>
      <c r="L21" s="7"/>
      <c r="M21" s="7"/>
      <c r="N21" s="7"/>
      <c r="O21" s="7"/>
      <c r="P21" s="7"/>
      <c r="Q21" s="7"/>
      <c r="R21" s="7"/>
      <c r="S21" s="7"/>
      <c r="T21" s="7"/>
      <c r="U21" s="17"/>
    </row>
    <row r="22" spans="1:21">
      <c r="A22" t="s">
        <v>16</v>
      </c>
      <c r="B22" s="10">
        <v>0</v>
      </c>
      <c r="C22" s="7">
        <v>723830.69830686064</v>
      </c>
      <c r="D22" s="7">
        <v>0</v>
      </c>
      <c r="E22" s="7">
        <v>0</v>
      </c>
      <c r="F22" s="17">
        <f t="shared" si="0"/>
        <v>723830.69830686064</v>
      </c>
      <c r="H22" s="4" t="s">
        <v>75</v>
      </c>
      <c r="I22" s="14">
        <v>17486425.390000004</v>
      </c>
      <c r="K22" s="10"/>
      <c r="L22" s="7"/>
      <c r="M22" s="7"/>
      <c r="N22" s="7"/>
      <c r="O22" s="7"/>
      <c r="P22" s="7"/>
      <c r="Q22" s="7"/>
      <c r="R22" s="7"/>
      <c r="S22" s="7"/>
      <c r="T22" s="7"/>
      <c r="U22" s="17"/>
    </row>
    <row r="23" spans="1:21">
      <c r="A23" t="s">
        <v>17</v>
      </c>
      <c r="B23" s="10">
        <v>0</v>
      </c>
      <c r="C23" s="7">
        <v>469659.10283563263</v>
      </c>
      <c r="D23" s="7">
        <v>0</v>
      </c>
      <c r="E23" s="7">
        <v>0</v>
      </c>
      <c r="F23" s="17">
        <f t="shared" si="0"/>
        <v>469659.10283563263</v>
      </c>
      <c r="H23" s="4" t="s">
        <v>76</v>
      </c>
      <c r="I23" s="14"/>
      <c r="K23" s="10"/>
      <c r="L23" s="7"/>
      <c r="M23" s="7"/>
      <c r="N23" s="7"/>
      <c r="O23" s="7"/>
      <c r="P23" s="7"/>
      <c r="Q23" s="7"/>
      <c r="R23" s="7"/>
      <c r="S23" s="7"/>
      <c r="T23" s="7"/>
      <c r="U23" s="17"/>
    </row>
    <row r="24" spans="1:21">
      <c r="A24" t="s">
        <v>18</v>
      </c>
      <c r="B24" s="10">
        <v>0</v>
      </c>
      <c r="C24" s="7">
        <v>206678.98884573753</v>
      </c>
      <c r="D24" s="7">
        <v>0</v>
      </c>
      <c r="E24" s="7">
        <v>0</v>
      </c>
      <c r="F24" s="17">
        <f t="shared" si="0"/>
        <v>206678.98884573753</v>
      </c>
      <c r="H24" s="4" t="s">
        <v>77</v>
      </c>
      <c r="I24" s="14">
        <v>191252040.66000003</v>
      </c>
      <c r="K24" s="10">
        <v>42570</v>
      </c>
      <c r="L24" s="7">
        <v>0</v>
      </c>
      <c r="M24" s="7"/>
      <c r="N24" s="7">
        <v>740430</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387503.16776236764</v>
      </c>
      <c r="D26" s="7">
        <v>0</v>
      </c>
      <c r="E26" s="7">
        <v>0</v>
      </c>
      <c r="F26" s="17">
        <f t="shared" si="0"/>
        <v>387503.16776236764</v>
      </c>
      <c r="H26" s="4" t="s">
        <v>78</v>
      </c>
      <c r="I26" s="14">
        <f>SUM(I10:I16)-SUM(I19:I24)</f>
        <v>96377518.826999426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96377518.827000171</v>
      </c>
      <c r="K27" s="10"/>
      <c r="L27" s="7"/>
      <c r="M27" s="7"/>
      <c r="N27" s="7"/>
      <c r="O27" s="7"/>
      <c r="P27" s="7"/>
      <c r="Q27" s="7"/>
      <c r="R27" s="7"/>
      <c r="S27" s="7"/>
      <c r="T27" s="7"/>
      <c r="U27" s="17"/>
    </row>
    <row r="28" spans="1:21">
      <c r="A28" t="s">
        <v>22</v>
      </c>
      <c r="B28" s="10">
        <v>0</v>
      </c>
      <c r="C28" s="7">
        <v>5611379.9681191249</v>
      </c>
      <c r="D28" s="7">
        <v>0</v>
      </c>
      <c r="E28" s="7">
        <v>0</v>
      </c>
      <c r="F28" s="17">
        <f t="shared" si="0"/>
        <v>5611379.9681191249</v>
      </c>
      <c r="H28" s="23"/>
      <c r="I28" s="25"/>
      <c r="K28" s="10">
        <v>0</v>
      </c>
      <c r="L28" s="7">
        <v>0</v>
      </c>
      <c r="M28" s="7"/>
      <c r="N28" s="7">
        <v>6000000</v>
      </c>
      <c r="O28" s="7">
        <v>0</v>
      </c>
      <c r="P28" s="7"/>
      <c r="Q28" s="7">
        <v>0</v>
      </c>
      <c r="R28" s="7">
        <v>0</v>
      </c>
      <c r="S28" s="7"/>
      <c r="T28" s="7">
        <v>0</v>
      </c>
      <c r="U28" s="17">
        <v>0</v>
      </c>
    </row>
    <row r="29" spans="1:21">
      <c r="A29" t="s">
        <v>23</v>
      </c>
      <c r="B29" s="10">
        <v>0</v>
      </c>
      <c r="C29" s="7">
        <v>2602757.4522468094</v>
      </c>
      <c r="D29" s="7">
        <v>0</v>
      </c>
      <c r="E29" s="7">
        <v>0</v>
      </c>
      <c r="F29" s="17">
        <f t="shared" si="0"/>
        <v>2602757.4522468094</v>
      </c>
      <c r="K29" s="10"/>
      <c r="L29" s="7"/>
      <c r="M29" s="7"/>
      <c r="N29" s="7"/>
      <c r="O29" s="7"/>
      <c r="P29" s="7"/>
      <c r="Q29" s="7"/>
      <c r="R29" s="7"/>
      <c r="S29" s="7"/>
      <c r="T29" s="7"/>
      <c r="U29" s="17"/>
    </row>
    <row r="30" spans="1:21">
      <c r="A30" t="s">
        <v>24</v>
      </c>
      <c r="B30" s="10">
        <v>0</v>
      </c>
      <c r="C30" s="7">
        <v>166918.02737256465</v>
      </c>
      <c r="D30" s="7">
        <v>0</v>
      </c>
      <c r="E30" s="7">
        <v>0</v>
      </c>
      <c r="F30" s="17">
        <f t="shared" si="0"/>
        <v>166918.02737256465</v>
      </c>
      <c r="K30" s="10"/>
      <c r="L30" s="7"/>
      <c r="M30" s="7"/>
      <c r="N30" s="7"/>
      <c r="O30" s="7"/>
      <c r="P30" s="7"/>
      <c r="Q30" s="7"/>
      <c r="R30" s="7"/>
      <c r="S30" s="7"/>
      <c r="T30" s="7"/>
      <c r="U30" s="17"/>
    </row>
    <row r="31" spans="1:21">
      <c r="A31" t="s">
        <v>25</v>
      </c>
      <c r="B31" s="10">
        <v>0</v>
      </c>
      <c r="C31" s="7">
        <v>572605.75497999229</v>
      </c>
      <c r="D31" s="7">
        <v>0</v>
      </c>
      <c r="E31" s="7">
        <v>0</v>
      </c>
      <c r="F31" s="17">
        <f t="shared" si="0"/>
        <v>572605.75497999229</v>
      </c>
      <c r="K31" s="10"/>
      <c r="L31" s="7"/>
      <c r="M31" s="7"/>
      <c r="N31" s="7"/>
      <c r="O31" s="7"/>
      <c r="P31" s="7"/>
      <c r="Q31" s="7"/>
      <c r="R31" s="7"/>
      <c r="S31" s="7"/>
      <c r="T31" s="7"/>
      <c r="U31" s="17"/>
    </row>
    <row r="32" spans="1:21">
      <c r="A32" t="s">
        <v>26</v>
      </c>
      <c r="B32" s="10">
        <v>0</v>
      </c>
      <c r="C32" s="7">
        <v>47689.634719119422</v>
      </c>
      <c r="D32" s="7">
        <v>0</v>
      </c>
      <c r="E32" s="7">
        <v>0</v>
      </c>
      <c r="F32" s="17">
        <f t="shared" si="0"/>
        <v>47689.634719119422</v>
      </c>
      <c r="K32" s="10"/>
      <c r="L32" s="7"/>
      <c r="M32" s="7"/>
      <c r="N32" s="7"/>
      <c r="O32" s="7"/>
      <c r="P32" s="7"/>
      <c r="Q32" s="7"/>
      <c r="R32" s="7"/>
      <c r="S32" s="7"/>
      <c r="T32" s="7"/>
      <c r="U32" s="17"/>
    </row>
    <row r="33" spans="1:21">
      <c r="A33" t="s">
        <v>27</v>
      </c>
      <c r="B33" s="10">
        <v>0</v>
      </c>
      <c r="C33" s="7">
        <v>1049405.7116300878</v>
      </c>
      <c r="D33" s="7">
        <v>0</v>
      </c>
      <c r="E33" s="7">
        <v>0</v>
      </c>
      <c r="F33" s="17">
        <f t="shared" si="0"/>
        <v>1049405.7116300878</v>
      </c>
      <c r="K33" s="10"/>
      <c r="L33" s="7"/>
      <c r="M33" s="7"/>
      <c r="N33" s="7"/>
      <c r="O33" s="7"/>
      <c r="P33" s="7"/>
      <c r="Q33" s="7"/>
      <c r="R33" s="7"/>
      <c r="S33" s="7"/>
      <c r="T33" s="7"/>
      <c r="U33" s="17"/>
    </row>
    <row r="34" spans="1:21">
      <c r="A34" t="s">
        <v>28</v>
      </c>
      <c r="B34" s="10">
        <v>0</v>
      </c>
      <c r="C34" s="7">
        <v>591975.26377555518</v>
      </c>
      <c r="D34" s="7">
        <v>0</v>
      </c>
      <c r="E34" s="7">
        <v>0</v>
      </c>
      <c r="F34" s="17">
        <f t="shared" si="0"/>
        <v>591975.26377555518</v>
      </c>
      <c r="K34" s="10">
        <v>0</v>
      </c>
      <c r="L34" s="7">
        <v>0</v>
      </c>
      <c r="M34" s="7"/>
      <c r="N34" s="7">
        <v>815000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183165.49919341513</v>
      </c>
      <c r="D37" s="7">
        <v>0</v>
      </c>
      <c r="E37" s="7">
        <v>0</v>
      </c>
      <c r="F37" s="17">
        <f t="shared" si="0"/>
        <v>183165.49919341513</v>
      </c>
      <c r="K37" s="10">
        <v>0</v>
      </c>
      <c r="L37" s="7">
        <v>0</v>
      </c>
      <c r="M37" s="7"/>
      <c r="N37" s="7">
        <v>139987</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5768738.5643835012</v>
      </c>
      <c r="D39" s="7">
        <v>0</v>
      </c>
      <c r="E39" s="7">
        <v>0</v>
      </c>
      <c r="F39" s="17">
        <f t="shared" si="1"/>
        <v>5768738.5643835012</v>
      </c>
      <c r="K39" s="10">
        <v>0</v>
      </c>
      <c r="L39" s="7">
        <v>0</v>
      </c>
      <c r="M39" s="7"/>
      <c r="N39" s="7">
        <v>7000000</v>
      </c>
      <c r="O39" s="7">
        <v>0</v>
      </c>
      <c r="P39" s="7"/>
      <c r="Q39" s="7">
        <v>0</v>
      </c>
      <c r="R39" s="7">
        <v>0</v>
      </c>
      <c r="S39" s="7"/>
      <c r="T39" s="7">
        <v>0</v>
      </c>
      <c r="U39" s="17">
        <v>0</v>
      </c>
    </row>
    <row r="40" spans="1:21">
      <c r="A40" t="s">
        <v>34</v>
      </c>
      <c r="B40" s="10">
        <v>0</v>
      </c>
      <c r="C40" s="7">
        <v>90516.557990632529</v>
      </c>
      <c r="D40" s="7">
        <v>0</v>
      </c>
      <c r="E40" s="7">
        <v>0</v>
      </c>
      <c r="F40" s="17">
        <f t="shared" si="1"/>
        <v>90516.557990632529</v>
      </c>
      <c r="K40" s="10">
        <v>0</v>
      </c>
      <c r="L40" s="7">
        <v>0</v>
      </c>
      <c r="M40" s="7"/>
      <c r="N40" s="7">
        <v>125000</v>
      </c>
      <c r="O40" s="7">
        <v>0</v>
      </c>
      <c r="P40" s="7"/>
      <c r="Q40" s="7">
        <v>0</v>
      </c>
      <c r="R40" s="7">
        <v>0</v>
      </c>
      <c r="S40" s="7"/>
      <c r="T40" s="7">
        <v>0</v>
      </c>
      <c r="U40" s="17">
        <v>0</v>
      </c>
    </row>
    <row r="41" spans="1:21">
      <c r="A41" t="s">
        <v>35</v>
      </c>
      <c r="B41" s="10">
        <v>0</v>
      </c>
      <c r="C41" s="7">
        <v>5092861.8677021591</v>
      </c>
      <c r="D41" s="7">
        <v>0</v>
      </c>
      <c r="E41" s="7">
        <v>0</v>
      </c>
      <c r="F41" s="17">
        <f t="shared" si="1"/>
        <v>5092861.8677021591</v>
      </c>
      <c r="K41" s="10">
        <v>0</v>
      </c>
      <c r="L41" s="7">
        <v>0</v>
      </c>
      <c r="M41" s="7"/>
      <c r="N41" s="7">
        <v>6900000</v>
      </c>
      <c r="O41" s="7">
        <v>0</v>
      </c>
      <c r="P41" s="7"/>
      <c r="Q41" s="7">
        <v>0</v>
      </c>
      <c r="R41" s="7">
        <v>0</v>
      </c>
      <c r="S41" s="7"/>
      <c r="T41" s="7">
        <v>0</v>
      </c>
      <c r="U41" s="17">
        <v>0</v>
      </c>
    </row>
    <row r="42" spans="1:21">
      <c r="A42" t="s">
        <v>36</v>
      </c>
      <c r="B42" s="10">
        <v>0</v>
      </c>
      <c r="C42" s="7">
        <v>5613286.9251715634</v>
      </c>
      <c r="D42" s="7">
        <v>0</v>
      </c>
      <c r="E42" s="7">
        <v>0</v>
      </c>
      <c r="F42" s="17">
        <f t="shared" si="1"/>
        <v>5613286.9251715634</v>
      </c>
      <c r="K42" s="10">
        <v>0</v>
      </c>
      <c r="L42" s="7">
        <v>0</v>
      </c>
      <c r="M42" s="7"/>
      <c r="N42" s="7">
        <v>7350000</v>
      </c>
      <c r="O42" s="7">
        <v>0</v>
      </c>
      <c r="P42" s="7"/>
      <c r="Q42" s="7">
        <v>0</v>
      </c>
      <c r="R42" s="7">
        <v>1550000</v>
      </c>
      <c r="S42" s="7"/>
      <c r="T42" s="7">
        <v>0</v>
      </c>
      <c r="U42" s="17">
        <v>0</v>
      </c>
    </row>
    <row r="43" spans="1:21">
      <c r="A43" t="s">
        <v>37</v>
      </c>
      <c r="B43" s="10">
        <v>0</v>
      </c>
      <c r="C43" s="7">
        <v>180771.91886333568</v>
      </c>
      <c r="D43" s="7">
        <v>0</v>
      </c>
      <c r="E43" s="7">
        <v>0</v>
      </c>
      <c r="F43" s="17">
        <f t="shared" si="1"/>
        <v>180771.91886333568</v>
      </c>
      <c r="K43" s="10"/>
      <c r="L43" s="7"/>
      <c r="M43" s="7"/>
      <c r="N43" s="7"/>
      <c r="O43" s="7"/>
      <c r="P43" s="7"/>
      <c r="Q43" s="7"/>
      <c r="R43" s="7"/>
      <c r="S43" s="7"/>
      <c r="T43" s="7"/>
      <c r="U43" s="17"/>
    </row>
    <row r="44" spans="1:21">
      <c r="A44" t="s">
        <v>38</v>
      </c>
      <c r="B44" s="10">
        <v>0</v>
      </c>
      <c r="C44" s="7">
        <v>3195331.15653597</v>
      </c>
      <c r="D44" s="7">
        <v>0</v>
      </c>
      <c r="E44" s="7">
        <v>0</v>
      </c>
      <c r="F44" s="17">
        <f t="shared" si="1"/>
        <v>3195331.15653597</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373200.9593535678</v>
      </c>
      <c r="D47" s="7">
        <v>0</v>
      </c>
      <c r="E47" s="7">
        <v>0</v>
      </c>
      <c r="F47" s="17">
        <f t="shared" si="1"/>
        <v>373200.9593535678</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185877.24190959462</v>
      </c>
      <c r="D49" s="7">
        <v>0</v>
      </c>
      <c r="E49" s="7">
        <v>0</v>
      </c>
      <c r="F49" s="17">
        <f t="shared" si="1"/>
        <v>185877.24190959462</v>
      </c>
      <c r="K49" s="10"/>
      <c r="L49" s="7"/>
      <c r="M49" s="7"/>
      <c r="N49" s="7"/>
      <c r="O49" s="7"/>
      <c r="P49" s="7"/>
      <c r="Q49" s="7"/>
      <c r="R49" s="7"/>
      <c r="S49" s="7"/>
      <c r="T49" s="7"/>
      <c r="U49" s="17"/>
    </row>
    <row r="50" spans="1:21">
      <c r="A50" t="s">
        <v>44</v>
      </c>
      <c r="B50" s="10">
        <v>0</v>
      </c>
      <c r="C50" s="7">
        <v>14784475.553766698</v>
      </c>
      <c r="D50" s="7">
        <v>0</v>
      </c>
      <c r="E50" s="7">
        <v>0</v>
      </c>
      <c r="F50" s="17">
        <f t="shared" si="1"/>
        <v>14784475.553766698</v>
      </c>
      <c r="K50" s="10">
        <v>0</v>
      </c>
      <c r="L50" s="7">
        <v>0</v>
      </c>
      <c r="M50" s="7"/>
      <c r="N50" s="7">
        <v>20000000</v>
      </c>
      <c r="O50" s="7">
        <v>7000000</v>
      </c>
      <c r="P50" s="7"/>
      <c r="Q50" s="7">
        <v>0</v>
      </c>
      <c r="R50" s="7">
        <v>0</v>
      </c>
      <c r="S50" s="7"/>
      <c r="T50" s="7">
        <v>0</v>
      </c>
      <c r="U50" s="17">
        <v>0</v>
      </c>
    </row>
    <row r="51" spans="1:21">
      <c r="A51" t="s">
        <v>45</v>
      </c>
      <c r="B51" s="10">
        <v>0</v>
      </c>
      <c r="C51" s="7">
        <v>256859.36385902678</v>
      </c>
      <c r="D51" s="7">
        <v>0</v>
      </c>
      <c r="E51" s="7">
        <v>0</v>
      </c>
      <c r="F51" s="17">
        <f t="shared" si="1"/>
        <v>256859.36385902678</v>
      </c>
      <c r="K51" s="10">
        <v>0</v>
      </c>
      <c r="L51" s="7">
        <v>0</v>
      </c>
      <c r="M51" s="7"/>
      <c r="N51" s="7">
        <v>350000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2034112.9083403242</v>
      </c>
      <c r="D53" s="7">
        <v>0</v>
      </c>
      <c r="E53" s="7">
        <v>0</v>
      </c>
      <c r="F53" s="17">
        <f t="shared" si="1"/>
        <v>2034112.9083403242</v>
      </c>
      <c r="K53" s="10"/>
      <c r="L53" s="7"/>
      <c r="M53" s="7"/>
      <c r="N53" s="7"/>
      <c r="O53" s="7"/>
      <c r="P53" s="7"/>
      <c r="Q53" s="7"/>
      <c r="R53" s="7"/>
      <c r="S53" s="7"/>
      <c r="T53" s="7"/>
      <c r="U53" s="17"/>
    </row>
    <row r="54" spans="1:21">
      <c r="A54" t="s">
        <v>48</v>
      </c>
      <c r="B54" s="10">
        <v>0</v>
      </c>
      <c r="C54" s="7">
        <v>7205575.2949269246</v>
      </c>
      <c r="D54" s="7">
        <v>0</v>
      </c>
      <c r="E54" s="7">
        <v>0</v>
      </c>
      <c r="F54" s="17">
        <f t="shared" si="1"/>
        <v>7205575.2949269246</v>
      </c>
      <c r="K54" s="10">
        <v>0</v>
      </c>
      <c r="L54" s="7">
        <v>0</v>
      </c>
      <c r="M54" s="7"/>
      <c r="N54" s="7">
        <v>10000000</v>
      </c>
      <c r="O54" s="7">
        <v>0</v>
      </c>
      <c r="P54" s="7"/>
      <c r="Q54" s="7">
        <v>0</v>
      </c>
      <c r="R54" s="7">
        <v>0</v>
      </c>
      <c r="S54" s="7"/>
      <c r="T54" s="7">
        <v>0</v>
      </c>
      <c r="U54" s="17">
        <v>0</v>
      </c>
    </row>
    <row r="55" spans="1:21">
      <c r="A55" t="s">
        <v>49</v>
      </c>
      <c r="B55" s="10">
        <v>0</v>
      </c>
      <c r="C55" s="7">
        <v>1258194.966423766</v>
      </c>
      <c r="D55" s="7">
        <v>0</v>
      </c>
      <c r="E55" s="7">
        <v>0</v>
      </c>
      <c r="F55" s="17">
        <f t="shared" si="1"/>
        <v>1258194.966423766</v>
      </c>
      <c r="K55" s="10">
        <v>0</v>
      </c>
      <c r="L55" s="7">
        <v>0</v>
      </c>
      <c r="M55" s="7"/>
      <c r="N55" s="7">
        <v>1500000</v>
      </c>
      <c r="O55" s="7">
        <v>375000</v>
      </c>
      <c r="P55" s="7"/>
      <c r="Q55" s="7">
        <v>0</v>
      </c>
      <c r="R55" s="7">
        <v>0</v>
      </c>
      <c r="S55" s="7"/>
      <c r="T55" s="7">
        <v>0</v>
      </c>
      <c r="U55" s="17">
        <v>0</v>
      </c>
    </row>
    <row r="56" spans="1:21">
      <c r="A56" t="s">
        <v>50</v>
      </c>
      <c r="B56" s="10">
        <v>0</v>
      </c>
      <c r="C56" s="7">
        <v>4573568.9495669268</v>
      </c>
      <c r="D56" s="7">
        <v>0</v>
      </c>
      <c r="E56" s="7">
        <v>0</v>
      </c>
      <c r="F56" s="17">
        <f t="shared" si="1"/>
        <v>4573568.9495669268</v>
      </c>
      <c r="K56" s="10">
        <v>0</v>
      </c>
      <c r="L56" s="7">
        <v>0</v>
      </c>
      <c r="M56" s="7"/>
      <c r="N56" s="7">
        <v>6000000</v>
      </c>
      <c r="O56" s="7">
        <v>0</v>
      </c>
      <c r="P56" s="7"/>
      <c r="Q56" s="7">
        <v>0</v>
      </c>
      <c r="R56" s="7">
        <v>0</v>
      </c>
      <c r="S56" s="7"/>
      <c r="T56" s="7">
        <v>0</v>
      </c>
      <c r="U56" s="17">
        <v>0</v>
      </c>
    </row>
    <row r="57" spans="1:21">
      <c r="A57" t="s">
        <v>51</v>
      </c>
      <c r="B57" s="10">
        <v>0</v>
      </c>
      <c r="C57" s="7">
        <v>41191.730008051185</v>
      </c>
      <c r="D57" s="7">
        <v>0</v>
      </c>
      <c r="E57" s="7">
        <v>0</v>
      </c>
      <c r="F57" s="17">
        <f t="shared" si="1"/>
        <v>41191.730008051185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96377518.827000171</v>
      </c>
      <c r="D60" s="7">
        <f>SUM(D6:D58)</f>
        <v>0</v>
      </c>
      <c r="E60" s="7">
        <f>SUM(E6:E58)</f>
        <v>0</v>
      </c>
      <c r="F60" s="17">
        <f>SUM(F6:F58)</f>
        <v>96377518.827000171</v>
      </c>
      <c r="K60" s="10">
        <f>SUM(K6:K58)</f>
        <v>700638</v>
      </c>
      <c r="L60" s="7">
        <f>SUM(L6:L58)</f>
        <v>0</v>
      </c>
      <c r="M60" s="7"/>
      <c r="N60" s="7">
        <f>SUM(N6:N58)</f>
        <v>88015647</v>
      </c>
      <c r="O60" s="7">
        <f>SUM(O6:O58)</f>
        <v>8163000</v>
      </c>
      <c r="P60" s="7"/>
      <c r="Q60" s="7">
        <f>SUM(Q6:Q58)</f>
        <v>0</v>
      </c>
      <c r="R60" s="7">
        <f>SUM(R6:R58)</f>
        <v>1716536</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Italic"London Pacific Life &amp; Annuity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2624.8554104151694</v>
      </c>
      <c r="E6" s="7">
        <v>0</v>
      </c>
      <c r="F6" s="17">
        <f t="shared" ref="F6:F37" si="0">SUM(B6:E6)</f>
        <v>2624.8554104151694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599489.13268474967</v>
      </c>
      <c r="E8" s="7">
        <v>0</v>
      </c>
      <c r="F8" s="17">
        <f t="shared" si="0"/>
        <v>599489.13268474967</v>
      </c>
      <c r="H8" s="4" t="s">
        <v>64</v>
      </c>
      <c r="I8" s="13"/>
      <c r="K8" s="10"/>
      <c r="L8" s="7"/>
      <c r="M8" s="7"/>
      <c r="N8" s="7"/>
      <c r="O8" s="7"/>
      <c r="P8" s="7"/>
      <c r="Q8" s="7"/>
      <c r="R8" s="7"/>
      <c r="S8" s="7"/>
      <c r="T8" s="7"/>
      <c r="U8" s="17"/>
    </row>
    <row r="9" spans="1:21">
      <c r="A9" t="s">
        <v>3</v>
      </c>
      <c r="B9" s="10">
        <v>0</v>
      </c>
      <c r="C9" s="7">
        <v>0</v>
      </c>
      <c r="D9" s="7">
        <v>329270.99860406609</v>
      </c>
      <c r="E9" s="7">
        <v>0</v>
      </c>
      <c r="F9" s="17">
        <f t="shared" si="0"/>
        <v>329270.99860406609</v>
      </c>
      <c r="H9" s="4"/>
      <c r="I9" s="13"/>
      <c r="K9" s="10"/>
      <c r="L9" s="7"/>
      <c r="M9" s="7"/>
      <c r="N9" s="7"/>
      <c r="O9" s="7"/>
      <c r="P9" s="7"/>
      <c r="Q9" s="7"/>
      <c r="R9" s="7"/>
      <c r="S9" s="7"/>
      <c r="T9" s="7"/>
      <c r="U9" s="17"/>
    </row>
    <row r="10" spans="1:21">
      <c r="A10" t="s">
        <v>4</v>
      </c>
      <c r="B10" s="10">
        <v>0</v>
      </c>
      <c r="C10" s="7">
        <v>0</v>
      </c>
      <c r="D10" s="7">
        <v>1746933.0658926615</v>
      </c>
      <c r="E10" s="7">
        <v>0</v>
      </c>
      <c r="F10" s="17">
        <f t="shared" si="0"/>
        <v>1746933.0658926615</v>
      </c>
      <c r="H10" s="4" t="s">
        <v>65</v>
      </c>
      <c r="I10" s="14">
        <v>14469502.15153577</v>
      </c>
      <c r="K10" s="10"/>
      <c r="L10" s="7"/>
      <c r="M10" s="7"/>
      <c r="N10" s="7"/>
      <c r="O10" s="7"/>
      <c r="P10" s="7"/>
      <c r="Q10" s="7"/>
      <c r="R10" s="7"/>
      <c r="S10" s="7"/>
      <c r="T10" s="7"/>
      <c r="U10" s="17"/>
    </row>
    <row r="11" spans="1:21">
      <c r="A11" t="s">
        <v>5</v>
      </c>
      <c r="B11" s="10">
        <v>0</v>
      </c>
      <c r="C11" s="7">
        <v>0</v>
      </c>
      <c r="D11" s="7">
        <v>113423.80691262679</v>
      </c>
      <c r="E11" s="7">
        <v>0</v>
      </c>
      <c r="F11" s="17">
        <f t="shared" si="0"/>
        <v>113423.80691262679</v>
      </c>
      <c r="H11" s="4"/>
      <c r="I11" s="14"/>
      <c r="K11" s="10"/>
      <c r="L11" s="7"/>
      <c r="M11" s="7"/>
      <c r="N11" s="7"/>
      <c r="O11" s="7"/>
      <c r="P11" s="7"/>
      <c r="Q11" s="7"/>
      <c r="R11" s="7"/>
      <c r="S11" s="7"/>
      <c r="T11" s="7"/>
      <c r="U11" s="17"/>
    </row>
    <row r="12" spans="1:21">
      <c r="A12" t="s">
        <v>6</v>
      </c>
      <c r="B12" s="10">
        <v>0</v>
      </c>
      <c r="C12" s="7">
        <v>0</v>
      </c>
      <c r="D12" s="7">
        <v>245773.7947378699</v>
      </c>
      <c r="E12" s="7">
        <v>0</v>
      </c>
      <c r="F12" s="17">
        <f t="shared" si="0"/>
        <v>245773.7947378699</v>
      </c>
      <c r="H12" s="4" t="s">
        <v>66</v>
      </c>
      <c r="I12" s="14"/>
      <c r="K12" s="10"/>
      <c r="L12" s="7"/>
      <c r="M12" s="7"/>
      <c r="N12" s="7"/>
      <c r="O12" s="7"/>
      <c r="P12" s="7"/>
      <c r="Q12" s="7"/>
      <c r="R12" s="7"/>
      <c r="S12" s="7"/>
      <c r="T12" s="7"/>
      <c r="U12" s="17"/>
    </row>
    <row r="13" spans="1:21">
      <c r="A13" t="s">
        <v>7</v>
      </c>
      <c r="B13" s="10">
        <v>0</v>
      </c>
      <c r="C13" s="7">
        <v>0</v>
      </c>
      <c r="D13" s="7">
        <v>68025.391326064506</v>
      </c>
      <c r="E13" s="7">
        <v>0</v>
      </c>
      <c r="F13" s="17">
        <f t="shared" si="0"/>
        <v>68025.391326064506</v>
      </c>
      <c r="H13" s="4" t="s">
        <v>67</v>
      </c>
      <c r="I13" s="14">
        <v>12500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1047456.6934281802</v>
      </c>
      <c r="E15" s="7">
        <v>0</v>
      </c>
      <c r="F15" s="17">
        <f t="shared" si="0"/>
        <v>1047456.6934281802</v>
      </c>
      <c r="H15" s="4" t="s">
        <v>69</v>
      </c>
      <c r="I15" s="14">
        <v>405469</v>
      </c>
      <c r="K15" s="10"/>
      <c r="L15" s="7"/>
      <c r="M15" s="7"/>
      <c r="N15" s="7"/>
      <c r="O15" s="7"/>
      <c r="P15" s="7"/>
      <c r="Q15" s="7"/>
      <c r="R15" s="7"/>
      <c r="S15" s="7"/>
      <c r="T15" s="7"/>
      <c r="U15" s="17"/>
    </row>
    <row r="16" spans="1:21">
      <c r="A16" t="s">
        <v>10</v>
      </c>
      <c r="B16" s="10">
        <v>0</v>
      </c>
      <c r="C16" s="7">
        <v>0</v>
      </c>
      <c r="D16" s="7">
        <v>141434.12864041753</v>
      </c>
      <c r="E16" s="7">
        <v>0</v>
      </c>
      <c r="F16" s="17">
        <f t="shared" si="0"/>
        <v>141434.12864041753</v>
      </c>
      <c r="H16" s="4" t="s">
        <v>70</v>
      </c>
      <c r="I16" s="14">
        <v>0</v>
      </c>
      <c r="K16" s="10"/>
      <c r="L16" s="7"/>
      <c r="M16" s="7"/>
      <c r="N16" s="7"/>
      <c r="O16" s="7"/>
      <c r="P16" s="7"/>
      <c r="Q16" s="7"/>
      <c r="R16" s="7"/>
      <c r="S16" s="7"/>
      <c r="T16" s="7"/>
      <c r="U16" s="17"/>
    </row>
    <row r="17" spans="1:21">
      <c r="A17" t="s">
        <v>11</v>
      </c>
      <c r="B17" s="10">
        <v>0</v>
      </c>
      <c r="C17" s="7">
        <v>0</v>
      </c>
      <c r="D17" s="7">
        <v>329270.99860406609</v>
      </c>
      <c r="E17" s="7">
        <v>0</v>
      </c>
      <c r="F17" s="17">
        <f t="shared" si="0"/>
        <v>329270.99860406609</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660922.32567086874</v>
      </c>
      <c r="E19" s="7">
        <v>0</v>
      </c>
      <c r="F19" s="17">
        <f t="shared" si="0"/>
        <v>660922.32567086874</v>
      </c>
      <c r="H19" s="4" t="s">
        <v>72</v>
      </c>
      <c r="I19" s="14">
        <v>0</v>
      </c>
      <c r="K19" s="10"/>
      <c r="L19" s="7"/>
      <c r="M19" s="7"/>
      <c r="N19" s="7"/>
      <c r="O19" s="7"/>
      <c r="P19" s="7"/>
      <c r="Q19" s="7"/>
      <c r="R19" s="7"/>
      <c r="S19" s="7"/>
      <c r="T19" s="7"/>
      <c r="U19" s="17"/>
    </row>
    <row r="20" spans="1:21">
      <c r="A20" t="s">
        <v>14</v>
      </c>
      <c r="B20" s="10">
        <v>0</v>
      </c>
      <c r="C20" s="7">
        <v>0</v>
      </c>
      <c r="D20" s="7">
        <v>93891.192364367525</v>
      </c>
      <c r="E20" s="7">
        <v>0</v>
      </c>
      <c r="F20" s="17">
        <f t="shared" si="0"/>
        <v>93891.192364367525</v>
      </c>
      <c r="H20" s="4" t="s">
        <v>73</v>
      </c>
      <c r="I20" s="14">
        <v>-65342.44294836402</v>
      </c>
      <c r="K20" s="10"/>
      <c r="L20" s="7"/>
      <c r="M20" s="7"/>
      <c r="N20" s="7"/>
      <c r="O20" s="7"/>
      <c r="P20" s="7"/>
      <c r="Q20" s="7"/>
      <c r="R20" s="7"/>
      <c r="S20" s="7"/>
      <c r="T20" s="7"/>
      <c r="U20" s="17"/>
    </row>
    <row r="21" spans="1:21">
      <c r="A21" t="s">
        <v>15</v>
      </c>
      <c r="B21" s="10">
        <v>0</v>
      </c>
      <c r="C21" s="7">
        <v>0</v>
      </c>
      <c r="D21" s="7">
        <v>88396.105044496508</v>
      </c>
      <c r="E21" s="7">
        <v>0</v>
      </c>
      <c r="F21" s="17">
        <f t="shared" si="0"/>
        <v>88396.105044496508</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-914193.94212117034</v>
      </c>
      <c r="K22" s="10"/>
      <c r="L22" s="7"/>
      <c r="M22" s="7"/>
      <c r="N22" s="7"/>
      <c r="O22" s="7"/>
      <c r="P22" s="7"/>
      <c r="Q22" s="7"/>
      <c r="R22" s="7"/>
      <c r="S22" s="7"/>
      <c r="T22" s="7"/>
      <c r="U22" s="17"/>
    </row>
    <row r="23" spans="1:21">
      <c r="A23" t="s">
        <v>17</v>
      </c>
      <c r="B23" s="10">
        <v>0</v>
      </c>
      <c r="C23" s="7">
        <v>0</v>
      </c>
      <c r="D23" s="7">
        <v>134317.49605527092</v>
      </c>
      <c r="E23" s="7">
        <v>0</v>
      </c>
      <c r="F23" s="17">
        <f t="shared" si="0"/>
        <v>134317.49605527092</v>
      </c>
      <c r="H23" s="4" t="s">
        <v>76</v>
      </c>
      <c r="I23" s="14"/>
      <c r="K23" s="10"/>
      <c r="L23" s="7"/>
      <c r="M23" s="7"/>
      <c r="N23" s="7"/>
      <c r="O23" s="7"/>
      <c r="P23" s="7"/>
      <c r="Q23" s="7"/>
      <c r="R23" s="7"/>
      <c r="S23" s="7"/>
      <c r="T23" s="7"/>
      <c r="U23" s="17"/>
    </row>
    <row r="24" spans="1:21">
      <c r="A24" t="s">
        <v>18</v>
      </c>
      <c r="B24" s="10">
        <v>0</v>
      </c>
      <c r="C24" s="7">
        <v>0</v>
      </c>
      <c r="D24" s="7">
        <v>90103.126220810984</v>
      </c>
      <c r="E24" s="7">
        <v>0</v>
      </c>
      <c r="F24" s="17">
        <f t="shared" si="0"/>
        <v>90103.126220810984</v>
      </c>
      <c r="H24" s="4" t="s">
        <v>77</v>
      </c>
      <c r="I24" s="14">
        <v>324528</v>
      </c>
      <c r="K24" s="10"/>
      <c r="L24" s="7"/>
      <c r="M24" s="7"/>
      <c r="N24" s="7"/>
      <c r="O24" s="7"/>
      <c r="P24" s="7"/>
      <c r="Q24" s="7"/>
      <c r="R24" s="7"/>
      <c r="S24" s="7"/>
      <c r="T24" s="7"/>
      <c r="U24" s="17"/>
    </row>
    <row r="25" spans="1:21">
      <c r="A25" t="s">
        <v>19</v>
      </c>
      <c r="B25" s="10">
        <v>0</v>
      </c>
      <c r="C25" s="7">
        <v>0</v>
      </c>
      <c r="D25" s="7">
        <v>314</v>
      </c>
      <c r="E25" s="7">
        <v>0</v>
      </c>
      <c r="F25" s="17">
        <f t="shared" si="0"/>
        <v>314</v>
      </c>
      <c r="H25" s="4"/>
      <c r="I25" s="14"/>
      <c r="K25" s="10"/>
      <c r="L25" s="7"/>
      <c r="M25" s="7"/>
      <c r="N25" s="7"/>
      <c r="O25" s="7"/>
      <c r="P25" s="7"/>
      <c r="Q25" s="7"/>
      <c r="R25" s="7"/>
      <c r="S25" s="7"/>
      <c r="T25" s="7"/>
      <c r="U25" s="17"/>
    </row>
    <row r="26" spans="1:21">
      <c r="A26" t="s">
        <v>20</v>
      </c>
      <c r="B26" s="10">
        <v>0</v>
      </c>
      <c r="C26" s="7">
        <v>0</v>
      </c>
      <c r="D26" s="7">
        <v>857591.32316006557</v>
      </c>
      <c r="E26" s="7">
        <v>0</v>
      </c>
      <c r="F26" s="17">
        <f t="shared" si="0"/>
        <v>857591.32316006557</v>
      </c>
      <c r="H26" s="4" t="s">
        <v>78</v>
      </c>
      <c r="I26" s="14">
        <f>SUM(I10:I16)-SUM(I19:I24)</f>
        <v>15542479.536605304</v>
      </c>
      <c r="K26" s="10"/>
      <c r="L26" s="7"/>
      <c r="M26" s="7"/>
      <c r="N26" s="7"/>
      <c r="O26" s="7"/>
      <c r="P26" s="7"/>
      <c r="Q26" s="7"/>
      <c r="R26" s="7"/>
      <c r="S26" s="7"/>
      <c r="T26" s="7"/>
      <c r="U26" s="17"/>
    </row>
    <row r="27" spans="1:21">
      <c r="A27" t="s">
        <v>21</v>
      </c>
      <c r="B27" s="10">
        <v>0</v>
      </c>
      <c r="C27" s="7">
        <v>0</v>
      </c>
      <c r="D27" s="7">
        <v>180880.65570413269</v>
      </c>
      <c r="E27" s="7">
        <v>0</v>
      </c>
      <c r="F27" s="17">
        <f t="shared" si="0"/>
        <v>180880.65570413269</v>
      </c>
      <c r="H27" s="4" t="s">
        <v>79</v>
      </c>
      <c r="I27" s="14">
        <f>+F60</f>
        <v>15542479.536605306</v>
      </c>
      <c r="K27" s="10"/>
      <c r="L27" s="7"/>
      <c r="M27" s="7"/>
      <c r="N27" s="7"/>
      <c r="O27" s="7"/>
      <c r="P27" s="7"/>
      <c r="Q27" s="7"/>
      <c r="R27" s="7"/>
      <c r="S27" s="7"/>
      <c r="T27" s="7"/>
      <c r="U27" s="17"/>
    </row>
    <row r="28" spans="1:21">
      <c r="A28" t="s">
        <v>22</v>
      </c>
      <c r="B28" s="10">
        <v>0</v>
      </c>
      <c r="C28" s="7">
        <v>0</v>
      </c>
      <c r="D28" s="7">
        <v>1199959.0106371304</v>
      </c>
      <c r="E28" s="7">
        <v>0</v>
      </c>
      <c r="F28" s="17">
        <f t="shared" si="0"/>
        <v>1199959.0106371304</v>
      </c>
      <c r="H28" s="23"/>
      <c r="I28" s="25"/>
      <c r="K28" s="10"/>
      <c r="L28" s="7"/>
      <c r="M28" s="7"/>
      <c r="N28" s="7"/>
      <c r="O28" s="7"/>
      <c r="P28" s="7"/>
      <c r="Q28" s="7"/>
      <c r="R28" s="7"/>
      <c r="S28" s="7"/>
      <c r="T28" s="7"/>
      <c r="U28" s="17"/>
    </row>
    <row r="29" spans="1:21">
      <c r="A29" t="s">
        <v>23</v>
      </c>
      <c r="B29" s="10">
        <v>0</v>
      </c>
      <c r="C29" s="7">
        <v>0</v>
      </c>
      <c r="D29" s="7">
        <v>271098.25677316857</v>
      </c>
      <c r="E29" s="7">
        <v>0</v>
      </c>
      <c r="F29" s="17">
        <f t="shared" si="0"/>
        <v>271098.25677316857</v>
      </c>
      <c r="K29" s="10"/>
      <c r="L29" s="7"/>
      <c r="M29" s="7"/>
      <c r="N29" s="7"/>
      <c r="O29" s="7"/>
      <c r="P29" s="7"/>
      <c r="Q29" s="7"/>
      <c r="R29" s="7"/>
      <c r="S29" s="7"/>
      <c r="T29" s="7"/>
      <c r="U29" s="17"/>
    </row>
    <row r="30" spans="1:21">
      <c r="A30" t="s">
        <v>24</v>
      </c>
      <c r="B30" s="10">
        <v>0</v>
      </c>
      <c r="C30" s="7">
        <v>0</v>
      </c>
      <c r="D30" s="7">
        <v>33287.114334102385</v>
      </c>
      <c r="E30" s="7">
        <v>0</v>
      </c>
      <c r="F30" s="17">
        <f t="shared" si="0"/>
        <v>33287.114334102385</v>
      </c>
      <c r="K30" s="10"/>
      <c r="L30" s="7"/>
      <c r="M30" s="7"/>
      <c r="N30" s="7"/>
      <c r="O30" s="7"/>
      <c r="P30" s="7"/>
      <c r="Q30" s="7"/>
      <c r="R30" s="7"/>
      <c r="S30" s="7"/>
      <c r="T30" s="7"/>
      <c r="U30" s="17"/>
    </row>
    <row r="31" spans="1:21">
      <c r="A31" t="s">
        <v>25</v>
      </c>
      <c r="B31" s="10">
        <v>0</v>
      </c>
      <c r="C31" s="7">
        <v>0</v>
      </c>
      <c r="D31" s="7">
        <v>147760.25575319672</v>
      </c>
      <c r="E31" s="7">
        <v>0</v>
      </c>
      <c r="F31" s="17">
        <f t="shared" si="0"/>
        <v>147760.25575319672</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186415.38579055393</v>
      </c>
      <c r="E34" s="7">
        <v>0</v>
      </c>
      <c r="F34" s="17">
        <f t="shared" si="0"/>
        <v>186415.38579055393</v>
      </c>
      <c r="K34" s="10"/>
      <c r="L34" s="7"/>
      <c r="M34" s="7"/>
      <c r="N34" s="7"/>
      <c r="O34" s="7"/>
      <c r="P34" s="7"/>
      <c r="Q34" s="7"/>
      <c r="R34" s="7"/>
      <c r="S34" s="7"/>
      <c r="T34" s="7"/>
      <c r="U34" s="17"/>
    </row>
    <row r="35" spans="1:21">
      <c r="A35" t="s">
        <v>29</v>
      </c>
      <c r="B35" s="10">
        <v>0</v>
      </c>
      <c r="C35" s="7">
        <v>0</v>
      </c>
      <c r="D35" s="7">
        <v>163547.40461302493</v>
      </c>
      <c r="E35" s="7">
        <v>0</v>
      </c>
      <c r="F35" s="17">
        <f t="shared" si="0"/>
        <v>163547.40461302493</v>
      </c>
      <c r="K35" s="10"/>
      <c r="L35" s="7"/>
      <c r="M35" s="7"/>
      <c r="N35" s="7"/>
      <c r="O35" s="7"/>
      <c r="P35" s="7"/>
      <c r="Q35" s="7"/>
      <c r="R35" s="7"/>
      <c r="S35" s="7"/>
      <c r="T35" s="7"/>
      <c r="U35" s="17"/>
    </row>
    <row r="36" spans="1:21">
      <c r="A36" t="s">
        <v>30</v>
      </c>
      <c r="B36" s="10">
        <v>0</v>
      </c>
      <c r="C36" s="7">
        <v>0</v>
      </c>
      <c r="D36" s="7">
        <v>614360.66139571159</v>
      </c>
      <c r="E36" s="7">
        <v>0</v>
      </c>
      <c r="F36" s="17">
        <f t="shared" si="0"/>
        <v>614360.66139571159</v>
      </c>
      <c r="K36" s="10"/>
      <c r="L36" s="7"/>
      <c r="M36" s="7"/>
      <c r="N36" s="7"/>
      <c r="O36" s="7"/>
      <c r="P36" s="7"/>
      <c r="Q36" s="7"/>
      <c r="R36" s="7"/>
      <c r="S36" s="7"/>
      <c r="T36" s="7"/>
      <c r="U36" s="17"/>
    </row>
    <row r="37" spans="1:21">
      <c r="A37" t="s">
        <v>31</v>
      </c>
      <c r="B37" s="10">
        <v>0</v>
      </c>
      <c r="C37" s="7">
        <v>0</v>
      </c>
      <c r="D37" s="7">
        <v>278740.01174843876</v>
      </c>
      <c r="E37" s="7">
        <v>0</v>
      </c>
      <c r="F37" s="17">
        <f t="shared" si="0"/>
        <v>278740.01174843876</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979124.25818450074</v>
      </c>
      <c r="E39" s="7">
        <v>0</v>
      </c>
      <c r="F39" s="17">
        <f t="shared" si="1"/>
        <v>979124.25818450074</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1533868.422855767</v>
      </c>
      <c r="E41" s="7">
        <v>0</v>
      </c>
      <c r="F41" s="17">
        <f t="shared" si="1"/>
        <v>1533868.422855767</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58275.503063759214</v>
      </c>
      <c r="E43" s="7">
        <v>0</v>
      </c>
      <c r="F43" s="17">
        <f t="shared" si="1"/>
        <v>58275.503063759214</v>
      </c>
      <c r="K43" s="10"/>
      <c r="L43" s="7"/>
      <c r="M43" s="7"/>
      <c r="N43" s="7"/>
      <c r="O43" s="7"/>
      <c r="P43" s="7"/>
      <c r="Q43" s="7"/>
      <c r="R43" s="7"/>
      <c r="S43" s="7"/>
      <c r="T43" s="7"/>
      <c r="U43" s="17"/>
    </row>
    <row r="44" spans="1:21">
      <c r="A44" t="s">
        <v>38</v>
      </c>
      <c r="B44" s="10">
        <v>0</v>
      </c>
      <c r="C44" s="7">
        <v>0</v>
      </c>
      <c r="D44" s="7">
        <v>566112.13122082409</v>
      </c>
      <c r="E44" s="7">
        <v>0</v>
      </c>
      <c r="F44" s="17">
        <f t="shared" si="1"/>
        <v>566112.13122082409</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70963.477958924559</v>
      </c>
      <c r="E46" s="7">
        <v>0</v>
      </c>
      <c r="F46" s="17">
        <f t="shared" si="1"/>
        <v>70963.477958924559</v>
      </c>
      <c r="K46" s="10"/>
      <c r="L46" s="7"/>
      <c r="M46" s="7"/>
      <c r="N46" s="7"/>
      <c r="O46" s="7"/>
      <c r="P46" s="7"/>
      <c r="Q46" s="7"/>
      <c r="R46" s="7"/>
      <c r="S46" s="7"/>
      <c r="T46" s="7"/>
      <c r="U46" s="17"/>
    </row>
    <row r="47" spans="1:21">
      <c r="A47" t="s">
        <v>41</v>
      </c>
      <c r="B47" s="10">
        <v>0</v>
      </c>
      <c r="C47" s="7">
        <v>0</v>
      </c>
      <c r="D47" s="7">
        <v>502919.60504520091</v>
      </c>
      <c r="E47" s="7">
        <v>0</v>
      </c>
      <c r="F47" s="17">
        <f t="shared" si="1"/>
        <v>502919.60504520091</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142925.47068564355</v>
      </c>
      <c r="E49" s="7">
        <v>0</v>
      </c>
      <c r="F49" s="17">
        <f t="shared" si="1"/>
        <v>142925.47068564355</v>
      </c>
      <c r="K49" s="10"/>
      <c r="L49" s="7"/>
      <c r="M49" s="7"/>
      <c r="N49" s="7"/>
      <c r="O49" s="7"/>
      <c r="P49" s="7"/>
      <c r="Q49" s="7"/>
      <c r="R49" s="7"/>
      <c r="S49" s="7"/>
      <c r="T49" s="7"/>
      <c r="U49" s="17"/>
    </row>
    <row r="50" spans="1:21">
      <c r="A50" t="s">
        <v>44</v>
      </c>
      <c r="B50" s="10">
        <v>0</v>
      </c>
      <c r="C50" s="7">
        <v>0</v>
      </c>
      <c r="D50" s="7">
        <v>896005.55432432902</v>
      </c>
      <c r="E50" s="7">
        <v>0</v>
      </c>
      <c r="F50" s="17">
        <f t="shared" si="1"/>
        <v>896005.55432432902</v>
      </c>
      <c r="K50" s="10"/>
      <c r="L50" s="7"/>
      <c r="M50" s="7"/>
      <c r="N50" s="7"/>
      <c r="O50" s="7"/>
      <c r="P50" s="7"/>
      <c r="Q50" s="7"/>
      <c r="R50" s="7"/>
      <c r="S50" s="7"/>
      <c r="T50" s="7"/>
      <c r="U50" s="17"/>
    </row>
    <row r="51" spans="1:21">
      <c r="A51" t="s">
        <v>45</v>
      </c>
      <c r="B51" s="10">
        <v>0</v>
      </c>
      <c r="C51" s="7">
        <v>0</v>
      </c>
      <c r="D51" s="7">
        <v>72894.158228113767</v>
      </c>
      <c r="E51" s="7">
        <v>0</v>
      </c>
      <c r="F51" s="17">
        <f t="shared" si="1"/>
        <v>72894.158228113767</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321691.42930480541</v>
      </c>
      <c r="E53" s="7">
        <v>0</v>
      </c>
      <c r="F53" s="17">
        <f t="shared" si="1"/>
        <v>321691.42930480541</v>
      </c>
      <c r="K53" s="10"/>
      <c r="L53" s="7"/>
      <c r="M53" s="7"/>
      <c r="N53" s="7"/>
      <c r="O53" s="7"/>
      <c r="P53" s="7"/>
      <c r="Q53" s="7"/>
      <c r="R53" s="7"/>
      <c r="S53" s="7"/>
      <c r="T53" s="7"/>
      <c r="U53" s="17"/>
    </row>
    <row r="54" spans="1:21">
      <c r="A54" t="s">
        <v>48</v>
      </c>
      <c r="B54" s="10">
        <v>0</v>
      </c>
      <c r="C54" s="7">
        <v>0</v>
      </c>
      <c r="D54" s="7">
        <v>563429.09203289053</v>
      </c>
      <c r="E54" s="7">
        <v>0</v>
      </c>
      <c r="F54" s="17">
        <f t="shared" si="1"/>
        <v>563429.09203289053</v>
      </c>
      <c r="K54" s="10"/>
      <c r="L54" s="7"/>
      <c r="M54" s="7"/>
      <c r="N54" s="7"/>
      <c r="O54" s="7"/>
      <c r="P54" s="7"/>
      <c r="Q54" s="7"/>
      <c r="R54" s="7"/>
      <c r="S54" s="7"/>
      <c r="T54" s="7"/>
      <c r="U54" s="17"/>
    </row>
    <row r="55" spans="1:21">
      <c r="A55" t="s">
        <v>49</v>
      </c>
      <c r="B55" s="10">
        <v>0</v>
      </c>
      <c r="C55" s="7">
        <v>0</v>
      </c>
      <c r="D55" s="7">
        <v>73085.130708650162</v>
      </c>
      <c r="E55" s="7">
        <v>0</v>
      </c>
      <c r="F55" s="17">
        <f t="shared" si="1"/>
        <v>73085.130708650162</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135898.11148543967</v>
      </c>
      <c r="E57" s="7">
        <v>0</v>
      </c>
      <c r="F57" s="17">
        <f t="shared" si="1"/>
        <v>135898.11148543967</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15542479.536605306</v>
      </c>
      <c r="E60" s="7">
        <f>SUM(E6:E58)</f>
        <v>0</v>
      </c>
      <c r="F60" s="17">
        <f>SUM(F6:F58)</f>
        <v>15542479.536605306</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Italic"Lumbermens Mutual Casualty Comapny&amp;R&amp;"Geneva,Bold"UNAUDITED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13929.632924734302</v>
      </c>
      <c r="E6" s="7">
        <v>0</v>
      </c>
      <c r="F6" s="17">
        <f t="shared" ref="F6:F37" si="0">SUM(B6:E6)</f>
        <v>13929.632924734302</v>
      </c>
      <c r="K6" s="10"/>
      <c r="L6" s="7"/>
      <c r="M6" s="7"/>
      <c r="N6" s="7"/>
      <c r="O6" s="7"/>
      <c r="P6" s="7"/>
      <c r="Q6" s="7"/>
      <c r="R6" s="7"/>
      <c r="S6" s="7"/>
      <c r="T6" s="7"/>
      <c r="U6" s="17"/>
    </row>
    <row r="7" spans="1:21">
      <c r="A7" t="s">
        <v>1</v>
      </c>
      <c r="B7" s="10">
        <v>0</v>
      </c>
      <c r="C7" s="7">
        <v>0</v>
      </c>
      <c r="D7" s="7">
        <v>2853</v>
      </c>
      <c r="E7" s="7">
        <v>0</v>
      </c>
      <c r="F7" s="17">
        <f t="shared" si="0"/>
        <v>2853</v>
      </c>
      <c r="H7" s="22"/>
      <c r="I7" s="24"/>
      <c r="K7" s="10"/>
      <c r="L7" s="7"/>
      <c r="M7" s="7"/>
      <c r="N7" s="7"/>
      <c r="O7" s="7"/>
      <c r="P7" s="7"/>
      <c r="Q7" s="7"/>
      <c r="R7" s="7"/>
      <c r="S7" s="7"/>
      <c r="T7" s="7"/>
      <c r="U7" s="17"/>
    </row>
    <row r="8" spans="1:21">
      <c r="A8" t="s">
        <v>2</v>
      </c>
      <c r="B8" s="10">
        <v>0</v>
      </c>
      <c r="C8" s="7">
        <v>0</v>
      </c>
      <c r="D8" s="7">
        <v>105774.25316162831</v>
      </c>
      <c r="E8" s="7">
        <v>0</v>
      </c>
      <c r="F8" s="17">
        <f t="shared" si="0"/>
        <v>105774.25316162831</v>
      </c>
      <c r="H8" s="4" t="s">
        <v>64</v>
      </c>
      <c r="I8" s="13"/>
      <c r="K8" s="10"/>
      <c r="L8" s="7"/>
      <c r="M8" s="7"/>
      <c r="N8" s="7"/>
      <c r="O8" s="7"/>
      <c r="P8" s="7"/>
      <c r="Q8" s="7"/>
      <c r="R8" s="7"/>
      <c r="S8" s="7"/>
      <c r="T8" s="7"/>
      <c r="U8" s="17"/>
    </row>
    <row r="9" spans="1:21">
      <c r="A9" t="s">
        <v>3</v>
      </c>
      <c r="B9" s="10">
        <v>0</v>
      </c>
      <c r="C9" s="7">
        <v>0</v>
      </c>
      <c r="D9" s="7">
        <v>12869.538312368659</v>
      </c>
      <c r="E9" s="7">
        <v>0</v>
      </c>
      <c r="F9" s="17">
        <f t="shared" si="0"/>
        <v>12869.538312368659</v>
      </c>
      <c r="H9" s="4"/>
      <c r="I9" s="13"/>
      <c r="K9" s="10">
        <v>0</v>
      </c>
      <c r="L9" s="7">
        <v>0</v>
      </c>
      <c r="M9" s="7"/>
      <c r="N9" s="7">
        <v>0</v>
      </c>
      <c r="O9" s="7">
        <v>0</v>
      </c>
      <c r="P9" s="7"/>
      <c r="Q9" s="7">
        <v>0</v>
      </c>
      <c r="R9" s="7">
        <v>0</v>
      </c>
      <c r="S9" s="7"/>
      <c r="T9" s="7">
        <v>0</v>
      </c>
      <c r="U9" s="17">
        <v>0</v>
      </c>
    </row>
    <row r="10" spans="1:21">
      <c r="A10" t="s">
        <v>4</v>
      </c>
      <c r="B10" s="10">
        <v>0</v>
      </c>
      <c r="C10" s="7">
        <v>0</v>
      </c>
      <c r="D10" s="7">
        <v>2876834.1836133436</v>
      </c>
      <c r="E10" s="7">
        <v>0</v>
      </c>
      <c r="F10" s="17">
        <f t="shared" si="0"/>
        <v>2876834.1836133436</v>
      </c>
      <c r="H10" s="4" t="s">
        <v>65</v>
      </c>
      <c r="I10" s="14">
        <v>19150731.710000001</v>
      </c>
      <c r="K10" s="10">
        <v>0</v>
      </c>
      <c r="L10" s="7">
        <v>0</v>
      </c>
      <c r="M10" s="7"/>
      <c r="N10" s="7">
        <v>0</v>
      </c>
      <c r="O10" s="7">
        <v>0</v>
      </c>
      <c r="P10" s="7"/>
      <c r="Q10" s="7">
        <v>0</v>
      </c>
      <c r="R10" s="7">
        <v>0</v>
      </c>
      <c r="S10" s="7"/>
      <c r="T10" s="7">
        <v>0</v>
      </c>
      <c r="U10" s="17">
        <v>0</v>
      </c>
    </row>
    <row r="11" spans="1:21">
      <c r="A11" t="s">
        <v>5</v>
      </c>
      <c r="B11" s="10">
        <v>0</v>
      </c>
      <c r="C11" s="7">
        <v>0</v>
      </c>
      <c r="D11" s="7">
        <v>40633.710000000006</v>
      </c>
      <c r="E11" s="7">
        <v>0</v>
      </c>
      <c r="F11" s="17">
        <f t="shared" si="0"/>
        <v>40633.710000000006</v>
      </c>
      <c r="H11" s="4"/>
      <c r="I11" s="14"/>
      <c r="K11" s="10">
        <v>0</v>
      </c>
      <c r="L11" s="7">
        <v>0</v>
      </c>
      <c r="M11" s="7"/>
      <c r="N11" s="7">
        <v>0</v>
      </c>
      <c r="O11" s="7">
        <v>0</v>
      </c>
      <c r="P11" s="7"/>
      <c r="Q11" s="7">
        <v>0</v>
      </c>
      <c r="R11" s="7">
        <v>31891</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19100731.710000001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3700018.1100000003</v>
      </c>
      <c r="K14" s="10"/>
      <c r="L14" s="7"/>
      <c r="M14" s="7"/>
      <c r="N14" s="7"/>
      <c r="O14" s="7"/>
      <c r="P14" s="7"/>
      <c r="Q14" s="7"/>
      <c r="R14" s="7"/>
      <c r="S14" s="7"/>
      <c r="T14" s="7"/>
      <c r="U14" s="17"/>
    </row>
    <row r="15" spans="1:21">
      <c r="A15" t="s">
        <v>9</v>
      </c>
      <c r="B15" s="10">
        <v>0</v>
      </c>
      <c r="C15" s="7">
        <v>0</v>
      </c>
      <c r="D15" s="7">
        <v>13150926.585053522</v>
      </c>
      <c r="E15" s="7">
        <v>0</v>
      </c>
      <c r="F15" s="17">
        <f t="shared" si="0"/>
        <v>13150926.585053522</v>
      </c>
      <c r="H15" s="4" t="s">
        <v>69</v>
      </c>
      <c r="I15" s="14">
        <v>4383565.45</v>
      </c>
      <c r="K15" s="10">
        <v>0</v>
      </c>
      <c r="L15" s="7">
        <v>0</v>
      </c>
      <c r="M15" s="7"/>
      <c r="N15" s="7">
        <v>0</v>
      </c>
      <c r="O15" s="7">
        <v>0</v>
      </c>
      <c r="P15" s="7"/>
      <c r="Q15" s="7">
        <v>11500000</v>
      </c>
      <c r="R15" s="7">
        <v>0</v>
      </c>
      <c r="S15" s="7"/>
      <c r="T15" s="7">
        <v>0</v>
      </c>
      <c r="U15" s="17">
        <v>0</v>
      </c>
    </row>
    <row r="16" spans="1:21">
      <c r="A16" t="s">
        <v>10</v>
      </c>
      <c r="B16" s="10">
        <v>0</v>
      </c>
      <c r="C16" s="7">
        <v>0</v>
      </c>
      <c r="D16" s="7">
        <v>39663.872748037902</v>
      </c>
      <c r="E16" s="7">
        <v>0</v>
      </c>
      <c r="F16" s="17">
        <f t="shared" si="0"/>
        <v>39663.872748037902</v>
      </c>
      <c r="H16" s="4" t="s">
        <v>70</v>
      </c>
      <c r="I16" s="14">
        <v>50000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19238.419999999998</v>
      </c>
      <c r="E18" s="7">
        <v>0</v>
      </c>
      <c r="F18" s="17">
        <f t="shared" si="0"/>
        <v>19238.419999999998</v>
      </c>
      <c r="H18" s="4" t="s">
        <v>71</v>
      </c>
      <c r="I18" s="14"/>
      <c r="K18" s="10">
        <v>0</v>
      </c>
      <c r="L18" s="7">
        <v>0</v>
      </c>
      <c r="M18" s="7"/>
      <c r="N18" s="7">
        <v>0</v>
      </c>
      <c r="O18" s="7">
        <v>0</v>
      </c>
      <c r="P18" s="7"/>
      <c r="Q18" s="7">
        <v>29400</v>
      </c>
      <c r="R18" s="7">
        <v>0</v>
      </c>
      <c r="S18" s="7"/>
      <c r="T18" s="7">
        <v>0</v>
      </c>
      <c r="U18" s="17">
        <v>0</v>
      </c>
    </row>
    <row r="19" spans="1:21">
      <c r="A19" t="s">
        <v>13</v>
      </c>
      <c r="B19" s="10">
        <v>0</v>
      </c>
      <c r="C19" s="7">
        <v>0</v>
      </c>
      <c r="D19" s="7">
        <v>1791678.773775266</v>
      </c>
      <c r="E19" s="7">
        <v>0</v>
      </c>
      <c r="F19" s="17">
        <f t="shared" si="0"/>
        <v>1791678.773775266</v>
      </c>
      <c r="H19" s="4" t="s">
        <v>72</v>
      </c>
      <c r="I19" s="14">
        <v>0</v>
      </c>
      <c r="K19" s="10">
        <v>0</v>
      </c>
      <c r="L19" s="7">
        <v>0</v>
      </c>
      <c r="M19" s="7"/>
      <c r="N19" s="7">
        <v>0</v>
      </c>
      <c r="O19" s="7">
        <v>0</v>
      </c>
      <c r="P19" s="7"/>
      <c r="Q19" s="7">
        <v>2500000</v>
      </c>
      <c r="R19" s="7">
        <v>0</v>
      </c>
      <c r="S19" s="7"/>
      <c r="T19" s="7">
        <v>0</v>
      </c>
      <c r="U19" s="17">
        <v>0</v>
      </c>
    </row>
    <row r="20" spans="1:21">
      <c r="A20" t="s">
        <v>14</v>
      </c>
      <c r="B20" s="10">
        <v>0</v>
      </c>
      <c r="C20" s="7">
        <v>0</v>
      </c>
      <c r="D20" s="7">
        <v>2456186.7526839804</v>
      </c>
      <c r="E20" s="7">
        <v>0</v>
      </c>
      <c r="F20" s="17">
        <f t="shared" si="0"/>
        <v>2456186.7526839804</v>
      </c>
      <c r="H20" s="4" t="s">
        <v>73</v>
      </c>
      <c r="I20" s="14">
        <v>19150731.710000001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30569.5</v>
      </c>
      <c r="E24" s="7">
        <v>0</v>
      </c>
      <c r="F24" s="17">
        <f t="shared" si="0"/>
        <v>30569.5</v>
      </c>
      <c r="H24" s="4" t="s">
        <v>77</v>
      </c>
      <c r="I24" s="14">
        <v>1997907</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25236408.270000003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25236408.27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5948</v>
      </c>
      <c r="E30" s="7">
        <v>0</v>
      </c>
      <c r="F30" s="17">
        <f t="shared" si="0"/>
        <v>5948</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27024</v>
      </c>
      <c r="E32" s="7">
        <v>0</v>
      </c>
      <c r="F32" s="17">
        <f t="shared" si="0"/>
        <v>27024</v>
      </c>
      <c r="K32" s="10"/>
      <c r="L32" s="7"/>
      <c r="M32" s="7"/>
      <c r="N32" s="7"/>
      <c r="O32" s="7"/>
      <c r="P32" s="7"/>
      <c r="Q32" s="7"/>
      <c r="R32" s="7"/>
      <c r="S32" s="7"/>
      <c r="T32" s="7"/>
      <c r="U32" s="17"/>
    </row>
    <row r="33" spans="1:21">
      <c r="A33" t="s">
        <v>27</v>
      </c>
      <c r="B33" s="10">
        <v>0</v>
      </c>
      <c r="C33" s="7">
        <v>0</v>
      </c>
      <c r="D33" s="7">
        <v>1422660.6986481412</v>
      </c>
      <c r="E33" s="7">
        <v>0</v>
      </c>
      <c r="F33" s="17">
        <f t="shared" si="0"/>
        <v>1422660.6986481412</v>
      </c>
      <c r="K33" s="10"/>
      <c r="L33" s="7"/>
      <c r="M33" s="7"/>
      <c r="N33" s="7"/>
      <c r="O33" s="7"/>
      <c r="P33" s="7"/>
      <c r="Q33" s="7"/>
      <c r="R33" s="7"/>
      <c r="S33" s="7"/>
      <c r="T33" s="7"/>
      <c r="U33" s="17"/>
    </row>
    <row r="34" spans="1:21">
      <c r="A34" t="s">
        <v>28</v>
      </c>
      <c r="B34" s="10">
        <v>0</v>
      </c>
      <c r="C34" s="7">
        <v>0</v>
      </c>
      <c r="D34" s="7">
        <v>306</v>
      </c>
      <c r="E34" s="7">
        <v>0</v>
      </c>
      <c r="F34" s="17">
        <f t="shared" si="0"/>
        <v>306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-217869</v>
      </c>
      <c r="E37" s="7">
        <v>0</v>
      </c>
      <c r="F37" s="17">
        <f t="shared" si="0"/>
        <v>-217869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-401061.11954010936</v>
      </c>
      <c r="E39" s="7">
        <v>0</v>
      </c>
      <c r="F39" s="17">
        <f t="shared" si="1"/>
        <v>-401061.11954010936</v>
      </c>
      <c r="K39" s="10"/>
      <c r="L39" s="7"/>
      <c r="M39" s="7"/>
      <c r="N39" s="7"/>
      <c r="O39" s="7"/>
      <c r="P39" s="7"/>
      <c r="Q39" s="7"/>
      <c r="R39" s="7"/>
      <c r="S39" s="7"/>
      <c r="T39" s="7"/>
      <c r="U39" s="17"/>
    </row>
    <row r="40" spans="1:21">
      <c r="A40" t="s">
        <v>34</v>
      </c>
      <c r="B40" s="10">
        <v>0</v>
      </c>
      <c r="C40" s="7">
        <v>0</v>
      </c>
      <c r="D40" s="7">
        <v>957</v>
      </c>
      <c r="E40" s="7">
        <v>0</v>
      </c>
      <c r="F40" s="17">
        <f t="shared" si="1"/>
        <v>957</v>
      </c>
      <c r="K40" s="10"/>
      <c r="L40" s="7"/>
      <c r="M40" s="7"/>
      <c r="N40" s="7"/>
      <c r="O40" s="7"/>
      <c r="P40" s="7"/>
      <c r="Q40" s="7"/>
      <c r="R40" s="7"/>
      <c r="S40" s="7"/>
      <c r="T40" s="7"/>
      <c r="U40" s="17"/>
    </row>
    <row r="41" spans="1:21">
      <c r="A41" t="s">
        <v>35</v>
      </c>
      <c r="B41" s="10">
        <v>0</v>
      </c>
      <c r="C41" s="7">
        <v>0</v>
      </c>
      <c r="D41" s="7">
        <v>2907477.4275403763</v>
      </c>
      <c r="E41" s="7">
        <v>0</v>
      </c>
      <c r="F41" s="17">
        <f t="shared" si="1"/>
        <v>2907477.4275403763</v>
      </c>
      <c r="K41" s="10">
        <v>0</v>
      </c>
      <c r="L41" s="7">
        <v>0</v>
      </c>
      <c r="M41" s="7"/>
      <c r="N41" s="7">
        <v>0</v>
      </c>
      <c r="O41" s="7">
        <v>0</v>
      </c>
      <c r="P41" s="7"/>
      <c r="Q41" s="7">
        <v>2000000</v>
      </c>
      <c r="R41" s="7">
        <v>0</v>
      </c>
      <c r="S41" s="7"/>
      <c r="T41" s="7">
        <v>0</v>
      </c>
      <c r="U41" s="17">
        <v>0</v>
      </c>
    </row>
    <row r="42" spans="1:21">
      <c r="A42" t="s">
        <v>36</v>
      </c>
      <c r="B42" s="10">
        <v>0</v>
      </c>
      <c r="C42" s="7">
        <v>0</v>
      </c>
      <c r="D42" s="7">
        <v>-272281.30724879575</v>
      </c>
      <c r="E42" s="7">
        <v>0</v>
      </c>
      <c r="F42" s="17">
        <f t="shared" si="1"/>
        <v>-272281.30724879575</v>
      </c>
      <c r="K42" s="10"/>
      <c r="L42" s="7"/>
      <c r="M42" s="7"/>
      <c r="N42" s="7"/>
      <c r="O42" s="7"/>
      <c r="P42" s="7"/>
      <c r="Q42" s="7"/>
      <c r="R42" s="7"/>
      <c r="S42" s="7"/>
      <c r="T42" s="7"/>
      <c r="U42" s="17"/>
    </row>
    <row r="43" spans="1:21">
      <c r="A43" t="s">
        <v>37</v>
      </c>
      <c r="B43" s="10">
        <v>0</v>
      </c>
      <c r="C43" s="7">
        <v>0</v>
      </c>
      <c r="D43" s="7">
        <v>43741.621031890943</v>
      </c>
      <c r="E43" s="7">
        <v>0</v>
      </c>
      <c r="F43" s="17">
        <f t="shared" si="1"/>
        <v>43741.621031890943</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-121257.68158596064</v>
      </c>
      <c r="E47" s="7">
        <v>0</v>
      </c>
      <c r="F47" s="17">
        <f t="shared" si="1"/>
        <v>-121257.68158596064</v>
      </c>
      <c r="K47" s="10"/>
      <c r="L47" s="7"/>
      <c r="M47" s="7"/>
      <c r="N47" s="7"/>
      <c r="O47" s="7"/>
      <c r="P47" s="7"/>
      <c r="Q47" s="7"/>
      <c r="R47" s="7"/>
      <c r="S47" s="7"/>
      <c r="T47" s="7"/>
      <c r="U47" s="17"/>
    </row>
    <row r="48" spans="1:21">
      <c r="A48" t="s">
        <v>42</v>
      </c>
      <c r="B48" s="10">
        <v>0</v>
      </c>
      <c r="C48" s="7">
        <v>0</v>
      </c>
      <c r="D48" s="7">
        <v>1448</v>
      </c>
      <c r="E48" s="7">
        <v>0</v>
      </c>
      <c r="F48" s="17">
        <f t="shared" si="1"/>
        <v>1448</v>
      </c>
      <c r="K48" s="10"/>
      <c r="L48" s="7"/>
      <c r="M48" s="7"/>
      <c r="N48" s="7"/>
      <c r="O48" s="7"/>
      <c r="P48" s="7"/>
      <c r="Q48" s="7"/>
      <c r="R48" s="7"/>
      <c r="S48" s="7"/>
      <c r="T48" s="7"/>
      <c r="U48" s="17"/>
    </row>
    <row r="49" spans="1:21">
      <c r="A49" t="s">
        <v>43</v>
      </c>
      <c r="B49" s="10">
        <v>0</v>
      </c>
      <c r="C49" s="7">
        <v>0</v>
      </c>
      <c r="D49" s="7">
        <v>2463.2399999999998</v>
      </c>
      <c r="E49" s="7">
        <v>0</v>
      </c>
      <c r="F49" s="17">
        <f t="shared" si="1"/>
        <v>2463.2399999999998</v>
      </c>
      <c r="K49" s="10"/>
      <c r="L49" s="7"/>
      <c r="M49" s="7"/>
      <c r="N49" s="7"/>
      <c r="O49" s="7"/>
      <c r="P49" s="7"/>
      <c r="Q49" s="7"/>
      <c r="R49" s="7"/>
      <c r="S49" s="7"/>
      <c r="T49" s="7"/>
      <c r="U49" s="17"/>
    </row>
    <row r="50" spans="1:21">
      <c r="A50" t="s">
        <v>44</v>
      </c>
      <c r="B50" s="10">
        <v>0</v>
      </c>
      <c r="C50" s="7">
        <v>0</v>
      </c>
      <c r="D50" s="7">
        <v>25742.386734182503</v>
      </c>
      <c r="E50" s="7">
        <v>0</v>
      </c>
      <c r="F50" s="17">
        <f t="shared" si="1"/>
        <v>25742.386734182503</v>
      </c>
      <c r="K50" s="10"/>
      <c r="L50" s="7"/>
      <c r="M50" s="7"/>
      <c r="N50" s="7"/>
      <c r="O50" s="7"/>
      <c r="P50" s="7"/>
      <c r="Q50" s="7"/>
      <c r="R50" s="7"/>
      <c r="S50" s="7"/>
      <c r="T50" s="7"/>
      <c r="U50" s="17"/>
    </row>
    <row r="51" spans="1:21">
      <c r="A51" t="s">
        <v>45</v>
      </c>
      <c r="B51" s="10">
        <v>0</v>
      </c>
      <c r="C51" s="7">
        <v>0</v>
      </c>
      <c r="D51" s="7">
        <v>10485.329943260782</v>
      </c>
      <c r="E51" s="7">
        <v>0</v>
      </c>
      <c r="F51" s="17">
        <f t="shared" si="1"/>
        <v>10485.329943260782</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1230117.7358994554</v>
      </c>
      <c r="E53" s="7">
        <v>0</v>
      </c>
      <c r="F53" s="17">
        <f t="shared" si="1"/>
        <v>1230117.7358994554</v>
      </c>
      <c r="K53" s="10">
        <v>0</v>
      </c>
      <c r="L53" s="7">
        <v>0</v>
      </c>
      <c r="M53" s="7"/>
      <c r="N53" s="7">
        <v>0</v>
      </c>
      <c r="O53" s="7">
        <v>0</v>
      </c>
      <c r="P53" s="7"/>
      <c r="Q53" s="7">
        <v>500000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29347.716304678113</v>
      </c>
      <c r="E55" s="7">
        <v>0</v>
      </c>
      <c r="F55" s="17">
        <f t="shared" si="1"/>
        <v>29347.716304678113</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25236408.27</v>
      </c>
      <c r="E60" s="7">
        <f>SUM(E6:E58)</f>
        <v>0</v>
      </c>
      <c r="F60" s="17">
        <f>SUM(F6:F58)</f>
        <v>25236408.27</v>
      </c>
      <c r="K60" s="10">
        <f>SUM(K6:K58)</f>
        <v>0</v>
      </c>
      <c r="L60" s="7">
        <f>SUM(L6:L58)</f>
        <v>0</v>
      </c>
      <c r="M60" s="7"/>
      <c r="N60" s="7">
        <f>SUM(N6:N58)</f>
        <v>0</v>
      </c>
      <c r="O60" s="7">
        <f>SUM(O6:O58)</f>
        <v>0</v>
      </c>
      <c r="P60" s="7"/>
      <c r="Q60" s="7">
        <f>SUM(Q6:Q58)</f>
        <v>16529400</v>
      </c>
      <c r="R60" s="7">
        <f>SUM(R6:R58)</f>
        <v>31891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Italic"Medical Savings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706205.0345549006</v>
      </c>
      <c r="E6" s="7">
        <v>0</v>
      </c>
      <c r="F6" s="17">
        <f t="shared" ref="F6:F37" si="0">SUM(B6:E6)</f>
        <v>706205.0345549006</v>
      </c>
      <c r="K6" s="10">
        <v>0</v>
      </c>
      <c r="L6" s="7">
        <v>0</v>
      </c>
      <c r="M6" s="7"/>
      <c r="N6" s="7">
        <v>0</v>
      </c>
      <c r="O6" s="7">
        <v>0</v>
      </c>
      <c r="P6" s="7"/>
      <c r="Q6" s="7">
        <v>1008000</v>
      </c>
      <c r="R6" s="7">
        <v>0</v>
      </c>
      <c r="S6" s="7"/>
      <c r="T6" s="7">
        <v>0</v>
      </c>
      <c r="U6" s="17">
        <v>0</v>
      </c>
    </row>
    <row r="7" spans="1:21">
      <c r="A7" t="s">
        <v>1</v>
      </c>
      <c r="B7" s="10">
        <v>0</v>
      </c>
      <c r="C7" s="7">
        <v>0</v>
      </c>
      <c r="D7" s="7">
        <v>6155.4242207934949</v>
      </c>
      <c r="E7" s="7">
        <v>0</v>
      </c>
      <c r="F7" s="17">
        <f t="shared" si="0"/>
        <v>6155.4242207934949</v>
      </c>
      <c r="H7" s="22"/>
      <c r="I7" s="24"/>
      <c r="K7" s="10">
        <v>9517</v>
      </c>
      <c r="L7" s="7">
        <v>0</v>
      </c>
      <c r="M7" s="7"/>
      <c r="N7" s="7">
        <v>0</v>
      </c>
      <c r="O7" s="7">
        <v>0</v>
      </c>
      <c r="P7" s="7"/>
      <c r="Q7" s="7">
        <v>20000</v>
      </c>
      <c r="R7" s="7">
        <v>20000</v>
      </c>
      <c r="S7" s="7"/>
      <c r="T7" s="7">
        <v>0</v>
      </c>
      <c r="U7" s="17">
        <v>0</v>
      </c>
    </row>
    <row r="8" spans="1:21">
      <c r="A8" t="s">
        <v>2</v>
      </c>
      <c r="B8" s="10">
        <v>0</v>
      </c>
      <c r="C8" s="7">
        <v>0</v>
      </c>
      <c r="D8" s="7">
        <v>664558.87579267845</v>
      </c>
      <c r="E8" s="7">
        <v>0</v>
      </c>
      <c r="F8" s="17">
        <f t="shared" si="0"/>
        <v>664558.87579267845</v>
      </c>
      <c r="H8" s="4" t="s">
        <v>64</v>
      </c>
      <c r="I8" s="13"/>
      <c r="K8" s="10">
        <v>0</v>
      </c>
      <c r="L8" s="7">
        <v>0</v>
      </c>
      <c r="M8" s="7"/>
      <c r="N8" s="7">
        <v>0</v>
      </c>
      <c r="O8" s="7">
        <v>0</v>
      </c>
      <c r="P8" s="7"/>
      <c r="Q8" s="7">
        <v>1323320</v>
      </c>
      <c r="R8" s="7">
        <v>0</v>
      </c>
      <c r="S8" s="7"/>
      <c r="T8" s="7">
        <v>0</v>
      </c>
      <c r="U8" s="17">
        <v>0</v>
      </c>
    </row>
    <row r="9" spans="1:21">
      <c r="A9" t="s">
        <v>3</v>
      </c>
      <c r="B9" s="10">
        <v>0</v>
      </c>
      <c r="C9" s="7">
        <v>0</v>
      </c>
      <c r="D9" s="7">
        <v>105637.57620661377</v>
      </c>
      <c r="E9" s="7">
        <v>0</v>
      </c>
      <c r="F9" s="17">
        <f t="shared" si="0"/>
        <v>105637.57620661377</v>
      </c>
      <c r="H9" s="4"/>
      <c r="I9" s="13"/>
      <c r="K9" s="10">
        <v>0</v>
      </c>
      <c r="L9" s="7">
        <v>0</v>
      </c>
      <c r="M9" s="7"/>
      <c r="N9" s="7">
        <v>0</v>
      </c>
      <c r="O9" s="7">
        <v>0</v>
      </c>
      <c r="P9" s="7"/>
      <c r="Q9" s="7">
        <v>335216</v>
      </c>
      <c r="R9" s="7">
        <v>0</v>
      </c>
      <c r="S9" s="7"/>
      <c r="T9" s="7">
        <v>0</v>
      </c>
      <c r="U9" s="17">
        <v>0</v>
      </c>
    </row>
    <row r="10" spans="1:21">
      <c r="A10" t="s">
        <v>4</v>
      </c>
      <c r="B10" s="10">
        <v>0</v>
      </c>
      <c r="C10" s="7">
        <v>0</v>
      </c>
      <c r="D10" s="7">
        <v>3887671.0394600313</v>
      </c>
      <c r="E10" s="7">
        <v>0</v>
      </c>
      <c r="F10" s="17">
        <f t="shared" si="0"/>
        <v>3887671.0394600313</v>
      </c>
      <c r="H10" s="4" t="s">
        <v>65</v>
      </c>
      <c r="I10" s="14">
        <v>91380543.070000038</v>
      </c>
      <c r="K10" s="10">
        <v>0</v>
      </c>
      <c r="L10" s="7">
        <v>0</v>
      </c>
      <c r="M10" s="7"/>
      <c r="N10" s="7">
        <v>0</v>
      </c>
      <c r="O10" s="7">
        <v>0</v>
      </c>
      <c r="P10" s="7"/>
      <c r="Q10" s="7">
        <v>10000000</v>
      </c>
      <c r="R10" s="7">
        <v>5650000</v>
      </c>
      <c r="S10" s="7"/>
      <c r="T10" s="7">
        <v>0</v>
      </c>
      <c r="U10" s="17">
        <v>0</v>
      </c>
    </row>
    <row r="11" spans="1:21">
      <c r="A11" t="s">
        <v>5</v>
      </c>
      <c r="B11" s="10">
        <v>0</v>
      </c>
      <c r="C11" s="7">
        <v>0</v>
      </c>
      <c r="D11" s="7">
        <v>1448309.7444029613</v>
      </c>
      <c r="E11" s="7">
        <v>0</v>
      </c>
      <c r="F11" s="17">
        <f t="shared" si="0"/>
        <v>1448309.7444029613</v>
      </c>
      <c r="H11" s="4"/>
      <c r="I11" s="14"/>
      <c r="K11" s="10">
        <v>0</v>
      </c>
      <c r="L11" s="7">
        <v>0</v>
      </c>
      <c r="M11" s="7"/>
      <c r="N11" s="7">
        <v>0</v>
      </c>
      <c r="O11" s="7">
        <v>0</v>
      </c>
      <c r="P11" s="7"/>
      <c r="Q11" s="7">
        <v>2200000</v>
      </c>
      <c r="R11" s="7">
        <v>756918</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26992.533042521645</v>
      </c>
      <c r="E13" s="7">
        <v>0</v>
      </c>
      <c r="F13" s="17">
        <f t="shared" si="0"/>
        <v>26992.533042521645</v>
      </c>
      <c r="H13" s="4" t="s">
        <v>67</v>
      </c>
      <c r="I13" s="14">
        <v>20254758.070000004</v>
      </c>
      <c r="K13" s="10">
        <v>0</v>
      </c>
      <c r="L13" s="7">
        <v>0</v>
      </c>
      <c r="M13" s="7"/>
      <c r="N13" s="7">
        <v>0</v>
      </c>
      <c r="O13" s="7">
        <v>0</v>
      </c>
      <c r="P13" s="7"/>
      <c r="Q13" s="7">
        <v>50000</v>
      </c>
      <c r="R13" s="7">
        <v>0</v>
      </c>
      <c r="S13" s="7"/>
      <c r="T13" s="7">
        <v>0</v>
      </c>
      <c r="U13" s="17">
        <v>0</v>
      </c>
    </row>
    <row r="14" spans="1:21">
      <c r="A14" t="s">
        <v>8</v>
      </c>
      <c r="B14" s="10">
        <v>0</v>
      </c>
      <c r="C14" s="7">
        <v>0</v>
      </c>
      <c r="D14" s="7">
        <v>2627.4277211373874</v>
      </c>
      <c r="E14" s="7">
        <v>0</v>
      </c>
      <c r="F14" s="17">
        <f t="shared" si="0"/>
        <v>2627.4277211373874</v>
      </c>
      <c r="H14" s="4" t="s">
        <v>68</v>
      </c>
      <c r="I14" s="14">
        <v>3000034.26</v>
      </c>
      <c r="K14" s="10">
        <v>0</v>
      </c>
      <c r="L14" s="7">
        <v>0</v>
      </c>
      <c r="M14" s="7"/>
      <c r="N14" s="7">
        <v>0</v>
      </c>
      <c r="O14" s="7">
        <v>0</v>
      </c>
      <c r="P14" s="7"/>
      <c r="Q14" s="7">
        <v>20000</v>
      </c>
      <c r="R14" s="7">
        <v>15780</v>
      </c>
      <c r="S14" s="7"/>
      <c r="T14" s="7">
        <v>0</v>
      </c>
      <c r="U14" s="17">
        <v>0</v>
      </c>
    </row>
    <row r="15" spans="1:21">
      <c r="A15" t="s">
        <v>9</v>
      </c>
      <c r="B15" s="10">
        <v>0</v>
      </c>
      <c r="C15" s="7">
        <v>0</v>
      </c>
      <c r="D15" s="7">
        <v>2510022.7412238475</v>
      </c>
      <c r="E15" s="7">
        <v>0</v>
      </c>
      <c r="F15" s="17">
        <f t="shared" si="0"/>
        <v>2510022.7412238475</v>
      </c>
      <c r="H15" s="4" t="s">
        <v>69</v>
      </c>
      <c r="I15" s="14">
        <v>1362932.3979999991</v>
      </c>
      <c r="K15" s="10">
        <v>0</v>
      </c>
      <c r="L15" s="7">
        <v>0</v>
      </c>
      <c r="M15" s="7"/>
      <c r="N15" s="7">
        <v>0</v>
      </c>
      <c r="O15" s="7">
        <v>0</v>
      </c>
      <c r="P15" s="7"/>
      <c r="Q15" s="7">
        <v>4000000</v>
      </c>
      <c r="R15" s="7">
        <v>0</v>
      </c>
      <c r="S15" s="7"/>
      <c r="T15" s="7">
        <v>0</v>
      </c>
      <c r="U15" s="17">
        <v>0</v>
      </c>
    </row>
    <row r="16" spans="1:21">
      <c r="A16" t="s">
        <v>10</v>
      </c>
      <c r="B16" s="10">
        <v>0</v>
      </c>
      <c r="C16" s="7">
        <v>0</v>
      </c>
      <c r="D16" s="7">
        <v>402447.6690133973</v>
      </c>
      <c r="E16" s="7">
        <v>0</v>
      </c>
      <c r="F16" s="17">
        <f t="shared" si="0"/>
        <v>402447.6690133973</v>
      </c>
      <c r="H16" s="4" t="s">
        <v>70</v>
      </c>
      <c r="I16" s="14">
        <v>0</v>
      </c>
      <c r="K16" s="10">
        <v>0</v>
      </c>
      <c r="L16" s="7">
        <v>0</v>
      </c>
      <c r="M16" s="7"/>
      <c r="N16" s="7">
        <v>0</v>
      </c>
      <c r="O16" s="7">
        <v>0</v>
      </c>
      <c r="P16" s="7"/>
      <c r="Q16" s="7">
        <v>400000</v>
      </c>
      <c r="R16" s="7">
        <v>0</v>
      </c>
      <c r="S16" s="7"/>
      <c r="T16" s="7">
        <v>0</v>
      </c>
      <c r="U16" s="17">
        <v>0</v>
      </c>
    </row>
    <row r="17" spans="1:21">
      <c r="A17" t="s">
        <v>11</v>
      </c>
      <c r="B17" s="10">
        <v>0</v>
      </c>
      <c r="C17" s="7">
        <v>0</v>
      </c>
      <c r="D17" s="7">
        <v>2582.4821272692807</v>
      </c>
      <c r="E17" s="7">
        <v>0</v>
      </c>
      <c r="F17" s="17">
        <f t="shared" si="0"/>
        <v>2582.4821272692807</v>
      </c>
      <c r="H17" s="4"/>
      <c r="I17" s="14"/>
      <c r="K17" s="10">
        <v>0</v>
      </c>
      <c r="L17" s="7">
        <v>9780</v>
      </c>
      <c r="M17" s="7"/>
      <c r="N17" s="7">
        <v>0</v>
      </c>
      <c r="O17" s="7">
        <v>0</v>
      </c>
      <c r="P17" s="7"/>
      <c r="Q17" s="7">
        <v>27420</v>
      </c>
      <c r="R17" s="7">
        <v>0</v>
      </c>
      <c r="S17" s="7"/>
      <c r="T17" s="7">
        <v>0</v>
      </c>
      <c r="U17" s="17">
        <v>0</v>
      </c>
    </row>
    <row r="18" spans="1:21">
      <c r="A18" t="s">
        <v>12</v>
      </c>
      <c r="B18" s="10">
        <v>0</v>
      </c>
      <c r="C18" s="7">
        <v>0</v>
      </c>
      <c r="D18" s="7">
        <v>132675.04979875495</v>
      </c>
      <c r="E18" s="7">
        <v>0</v>
      </c>
      <c r="F18" s="17">
        <f t="shared" si="0"/>
        <v>132675.04979875495</v>
      </c>
      <c r="H18" s="4" t="s">
        <v>71</v>
      </c>
      <c r="I18" s="14"/>
      <c r="K18" s="10">
        <v>0</v>
      </c>
      <c r="L18" s="7">
        <v>0</v>
      </c>
      <c r="M18" s="7"/>
      <c r="N18" s="7">
        <v>0</v>
      </c>
      <c r="O18" s="7">
        <v>0</v>
      </c>
      <c r="P18" s="7"/>
      <c r="Q18" s="7">
        <v>377000</v>
      </c>
      <c r="R18" s="7">
        <v>0</v>
      </c>
      <c r="S18" s="7"/>
      <c r="T18" s="7">
        <v>0</v>
      </c>
      <c r="U18" s="17">
        <v>0</v>
      </c>
    </row>
    <row r="19" spans="1:21">
      <c r="A19" t="s">
        <v>13</v>
      </c>
      <c r="B19" s="10">
        <v>0</v>
      </c>
      <c r="C19" s="7">
        <v>0</v>
      </c>
      <c r="D19" s="7">
        <v>5422846.5213560276</v>
      </c>
      <c r="E19" s="7">
        <v>0</v>
      </c>
      <c r="F19" s="17">
        <f t="shared" si="0"/>
        <v>5422846.5213560276</v>
      </c>
      <c r="H19" s="4" t="s">
        <v>72</v>
      </c>
      <c r="I19" s="14">
        <v>0</v>
      </c>
      <c r="K19" s="10">
        <v>0</v>
      </c>
      <c r="L19" s="7">
        <v>0</v>
      </c>
      <c r="M19" s="7"/>
      <c r="N19" s="7">
        <v>0</v>
      </c>
      <c r="O19" s="7">
        <v>0</v>
      </c>
      <c r="P19" s="7"/>
      <c r="Q19" s="7">
        <v>14800000</v>
      </c>
      <c r="R19" s="7">
        <v>9450000</v>
      </c>
      <c r="S19" s="7"/>
      <c r="T19" s="7">
        <v>0</v>
      </c>
      <c r="U19" s="17">
        <v>0</v>
      </c>
    </row>
    <row r="20" spans="1:21">
      <c r="A20" t="s">
        <v>14</v>
      </c>
      <c r="B20" s="10">
        <v>0</v>
      </c>
      <c r="C20" s="7">
        <v>0</v>
      </c>
      <c r="D20" s="7">
        <v>1024700.84649526</v>
      </c>
      <c r="E20" s="7">
        <v>0</v>
      </c>
      <c r="F20" s="17">
        <f t="shared" si="0"/>
        <v>1024700.84649526</v>
      </c>
      <c r="H20" s="4" t="s">
        <v>73</v>
      </c>
      <c r="I20" s="14">
        <v>20254758.070000004</v>
      </c>
      <c r="K20" s="10">
        <v>0</v>
      </c>
      <c r="L20" s="7">
        <v>0</v>
      </c>
      <c r="M20" s="7"/>
      <c r="N20" s="7">
        <v>0</v>
      </c>
      <c r="O20" s="7">
        <v>0</v>
      </c>
      <c r="P20" s="7"/>
      <c r="Q20" s="7">
        <v>2893631</v>
      </c>
      <c r="R20" s="7">
        <v>0</v>
      </c>
      <c r="S20" s="7"/>
      <c r="T20" s="7">
        <v>0</v>
      </c>
      <c r="U20" s="17">
        <v>0</v>
      </c>
    </row>
    <row r="21" spans="1:21">
      <c r="A21" t="s">
        <v>15</v>
      </c>
      <c r="B21" s="10">
        <v>0</v>
      </c>
      <c r="C21" s="7">
        <v>0</v>
      </c>
      <c r="D21" s="7">
        <v>450889.05417342694</v>
      </c>
      <c r="E21" s="7">
        <v>0</v>
      </c>
      <c r="F21" s="17">
        <f t="shared" si="0"/>
        <v>450889.05417342694</v>
      </c>
      <c r="H21" s="4" t="s">
        <v>74</v>
      </c>
      <c r="I21" s="14"/>
      <c r="K21" s="10">
        <v>0</v>
      </c>
      <c r="L21" s="7">
        <v>0</v>
      </c>
      <c r="M21" s="7"/>
      <c r="N21" s="7">
        <v>0</v>
      </c>
      <c r="O21" s="7">
        <v>0</v>
      </c>
      <c r="P21" s="7"/>
      <c r="Q21" s="7">
        <v>1725000</v>
      </c>
      <c r="R21" s="7">
        <v>0</v>
      </c>
      <c r="S21" s="7"/>
      <c r="T21" s="7">
        <v>0</v>
      </c>
      <c r="U21" s="17">
        <v>0</v>
      </c>
    </row>
    <row r="22" spans="1:21">
      <c r="A22" t="s">
        <v>16</v>
      </c>
      <c r="B22" s="10">
        <v>0</v>
      </c>
      <c r="C22" s="7">
        <v>0</v>
      </c>
      <c r="D22" s="7">
        <v>171969.93943809118</v>
      </c>
      <c r="E22" s="7">
        <v>0</v>
      </c>
      <c r="F22" s="17">
        <f t="shared" si="0"/>
        <v>171969.93943809118</v>
      </c>
      <c r="H22" s="4" t="s">
        <v>75</v>
      </c>
      <c r="I22" s="14">
        <v>743000</v>
      </c>
      <c r="K22" s="10">
        <v>0</v>
      </c>
      <c r="L22" s="7">
        <v>0</v>
      </c>
      <c r="M22" s="7"/>
      <c r="N22" s="7">
        <v>0</v>
      </c>
      <c r="O22" s="7">
        <v>0</v>
      </c>
      <c r="P22" s="7"/>
      <c r="Q22" s="7">
        <v>500000</v>
      </c>
      <c r="R22" s="7">
        <v>0</v>
      </c>
      <c r="S22" s="7"/>
      <c r="T22" s="7">
        <v>0</v>
      </c>
      <c r="U22" s="17">
        <v>0</v>
      </c>
    </row>
    <row r="23" spans="1:21">
      <c r="A23" t="s">
        <v>17</v>
      </c>
      <c r="B23" s="10">
        <v>0</v>
      </c>
      <c r="C23" s="7">
        <v>0</v>
      </c>
      <c r="D23" s="7">
        <v>483482.28025442525</v>
      </c>
      <c r="E23" s="7">
        <v>0</v>
      </c>
      <c r="F23" s="17">
        <f t="shared" si="0"/>
        <v>483482.28025442525</v>
      </c>
      <c r="H23" s="4" t="s">
        <v>76</v>
      </c>
      <c r="I23" s="14"/>
      <c r="K23" s="10">
        <v>0</v>
      </c>
      <c r="L23" s="7">
        <v>0</v>
      </c>
      <c r="M23" s="7"/>
      <c r="N23" s="7">
        <v>0</v>
      </c>
      <c r="O23" s="7">
        <v>0</v>
      </c>
      <c r="P23" s="7"/>
      <c r="Q23" s="7">
        <v>1341501</v>
      </c>
      <c r="R23" s="7">
        <v>522000</v>
      </c>
      <c r="S23" s="7"/>
      <c r="T23" s="7">
        <v>0</v>
      </c>
      <c r="U23" s="17">
        <v>0</v>
      </c>
    </row>
    <row r="24" spans="1:21">
      <c r="A24" t="s">
        <v>18</v>
      </c>
      <c r="B24" s="10">
        <v>0</v>
      </c>
      <c r="C24" s="7">
        <v>0</v>
      </c>
      <c r="D24" s="7">
        <v>45505.67242352711</v>
      </c>
      <c r="E24" s="7">
        <v>0</v>
      </c>
      <c r="F24" s="17">
        <f t="shared" si="0"/>
        <v>45505.67242352711</v>
      </c>
      <c r="H24" s="4" t="s">
        <v>77</v>
      </c>
      <c r="I24" s="14">
        <v>60769110.859999985</v>
      </c>
      <c r="K24" s="10">
        <v>0</v>
      </c>
      <c r="L24" s="7">
        <v>0</v>
      </c>
      <c r="M24" s="7"/>
      <c r="N24" s="7">
        <v>0</v>
      </c>
      <c r="O24" s="7">
        <v>0</v>
      </c>
      <c r="P24" s="7"/>
      <c r="Q24" s="7">
        <v>509121</v>
      </c>
      <c r="R24" s="7">
        <v>0</v>
      </c>
      <c r="S24" s="7"/>
      <c r="T24" s="7">
        <v>0</v>
      </c>
      <c r="U24" s="17">
        <v>0</v>
      </c>
    </row>
    <row r="25" spans="1:21">
      <c r="A25" t="s">
        <v>19</v>
      </c>
      <c r="B25" s="10">
        <v>0</v>
      </c>
      <c r="C25" s="7">
        <v>0</v>
      </c>
      <c r="D25" s="7">
        <v>54867.313969969357</v>
      </c>
      <c r="E25" s="7">
        <v>0</v>
      </c>
      <c r="F25" s="17">
        <f t="shared" si="0"/>
        <v>54867.313969969357</v>
      </c>
      <c r="H25" s="4"/>
      <c r="I25" s="14"/>
      <c r="K25" s="10">
        <v>0</v>
      </c>
      <c r="L25" s="7">
        <v>0</v>
      </c>
      <c r="M25" s="7"/>
      <c r="N25" s="7">
        <v>0</v>
      </c>
      <c r="O25" s="7">
        <v>0</v>
      </c>
      <c r="P25" s="7"/>
      <c r="Q25" s="7">
        <v>175000</v>
      </c>
      <c r="R25" s="7">
        <v>0</v>
      </c>
      <c r="S25" s="7"/>
      <c r="T25" s="7">
        <v>0</v>
      </c>
      <c r="U25" s="17">
        <v>0</v>
      </c>
    </row>
    <row r="26" spans="1:21">
      <c r="A26" t="s">
        <v>20</v>
      </c>
      <c r="B26" s="10">
        <v>0</v>
      </c>
      <c r="C26" s="7">
        <v>0</v>
      </c>
      <c r="D26" s="7">
        <v>491514.20038975065</v>
      </c>
      <c r="E26" s="7">
        <v>0</v>
      </c>
      <c r="F26" s="17">
        <f t="shared" si="0"/>
        <v>491514.20038975065</v>
      </c>
      <c r="H26" s="4" t="s">
        <v>78</v>
      </c>
      <c r="I26" s="14">
        <f>SUM(I10:I16)-SUM(I19:I24)</f>
        <v>34231398.86800006</v>
      </c>
      <c r="K26" s="10">
        <v>0</v>
      </c>
      <c r="L26" s="7">
        <v>0</v>
      </c>
      <c r="M26" s="7"/>
      <c r="N26" s="7">
        <v>0</v>
      </c>
      <c r="O26" s="7">
        <v>0</v>
      </c>
      <c r="P26" s="7"/>
      <c r="Q26" s="7">
        <v>1700000</v>
      </c>
      <c r="R26" s="7">
        <v>0</v>
      </c>
      <c r="S26" s="7"/>
      <c r="T26" s="7">
        <v>0</v>
      </c>
      <c r="U26" s="17">
        <v>0</v>
      </c>
    </row>
    <row r="27" spans="1:21">
      <c r="A27" t="s">
        <v>21</v>
      </c>
      <c r="B27" s="10">
        <v>0</v>
      </c>
      <c r="C27" s="7">
        <v>0</v>
      </c>
      <c r="D27" s="7">
        <v>164994.31292200909</v>
      </c>
      <c r="E27" s="7">
        <v>0</v>
      </c>
      <c r="F27" s="17">
        <f t="shared" si="0"/>
        <v>164994.31292200909</v>
      </c>
      <c r="H27" s="4" t="s">
        <v>79</v>
      </c>
      <c r="I27" s="14">
        <f>+F60</f>
        <v>34231398.868000031</v>
      </c>
      <c r="K27" s="10">
        <v>0</v>
      </c>
      <c r="L27" s="7">
        <v>0</v>
      </c>
      <c r="M27" s="7"/>
      <c r="N27" s="7">
        <v>0</v>
      </c>
      <c r="O27" s="7">
        <v>0</v>
      </c>
      <c r="P27" s="7"/>
      <c r="Q27" s="7">
        <v>456000</v>
      </c>
      <c r="R27" s="7">
        <v>75000</v>
      </c>
      <c r="S27" s="7"/>
      <c r="T27" s="7">
        <v>0</v>
      </c>
      <c r="U27" s="17">
        <v>0</v>
      </c>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54417.062751071062</v>
      </c>
      <c r="E29" s="7">
        <v>0</v>
      </c>
      <c r="F29" s="17">
        <f t="shared" si="0"/>
        <v>54417.062751071062</v>
      </c>
      <c r="K29" s="10"/>
      <c r="L29" s="7"/>
      <c r="M29" s="7"/>
      <c r="N29" s="7"/>
      <c r="O29" s="7"/>
      <c r="P29" s="7"/>
      <c r="Q29" s="7"/>
      <c r="R29" s="7"/>
      <c r="S29" s="7"/>
      <c r="T29" s="7"/>
      <c r="U29" s="17"/>
    </row>
    <row r="30" spans="1:21">
      <c r="A30" t="s">
        <v>24</v>
      </c>
      <c r="B30" s="10">
        <v>0</v>
      </c>
      <c r="C30" s="7">
        <v>0</v>
      </c>
      <c r="D30" s="7">
        <v>105429.12322919763</v>
      </c>
      <c r="E30" s="7">
        <v>0</v>
      </c>
      <c r="F30" s="17">
        <f t="shared" si="0"/>
        <v>105429.12322919763</v>
      </c>
      <c r="K30" s="10">
        <v>0</v>
      </c>
      <c r="L30" s="7">
        <v>0</v>
      </c>
      <c r="M30" s="7"/>
      <c r="N30" s="7">
        <v>0</v>
      </c>
      <c r="O30" s="7">
        <v>0</v>
      </c>
      <c r="P30" s="7"/>
      <c r="Q30" s="7">
        <v>210000</v>
      </c>
      <c r="R30" s="7">
        <v>0</v>
      </c>
      <c r="S30" s="7"/>
      <c r="T30" s="7">
        <v>0</v>
      </c>
      <c r="U30" s="17">
        <v>0</v>
      </c>
    </row>
    <row r="31" spans="1:21">
      <c r="A31" t="s">
        <v>25</v>
      </c>
      <c r="B31" s="10">
        <v>0</v>
      </c>
      <c r="C31" s="7">
        <v>0</v>
      </c>
      <c r="D31" s="7">
        <v>2342747.1386698438</v>
      </c>
      <c r="E31" s="7">
        <v>0</v>
      </c>
      <c r="F31" s="17">
        <f t="shared" si="0"/>
        <v>2342747.1386698438</v>
      </c>
      <c r="K31" s="10">
        <v>0</v>
      </c>
      <c r="L31" s="7">
        <v>0</v>
      </c>
      <c r="M31" s="7"/>
      <c r="N31" s="7">
        <v>0</v>
      </c>
      <c r="O31" s="7">
        <v>0</v>
      </c>
      <c r="P31" s="7"/>
      <c r="Q31" s="7">
        <v>8354499</v>
      </c>
      <c r="R31" s="7">
        <v>0</v>
      </c>
      <c r="S31" s="7"/>
      <c r="T31" s="7">
        <v>0</v>
      </c>
      <c r="U31" s="17">
        <v>0</v>
      </c>
    </row>
    <row r="32" spans="1:21">
      <c r="A32" t="s">
        <v>26</v>
      </c>
      <c r="B32" s="10">
        <v>0</v>
      </c>
      <c r="C32" s="7">
        <v>0</v>
      </c>
      <c r="D32" s="7">
        <v>439065.94454397284</v>
      </c>
      <c r="E32" s="7">
        <v>0</v>
      </c>
      <c r="F32" s="17">
        <f t="shared" si="0"/>
        <v>439065.94454397284</v>
      </c>
      <c r="K32" s="10">
        <v>0</v>
      </c>
      <c r="L32" s="7">
        <v>0</v>
      </c>
      <c r="M32" s="7"/>
      <c r="N32" s="7">
        <v>0</v>
      </c>
      <c r="O32" s="7">
        <v>0</v>
      </c>
      <c r="P32" s="7"/>
      <c r="Q32" s="7">
        <v>670000</v>
      </c>
      <c r="R32" s="7">
        <v>0</v>
      </c>
      <c r="S32" s="7"/>
      <c r="T32" s="7">
        <v>0</v>
      </c>
      <c r="U32" s="17">
        <v>0</v>
      </c>
    </row>
    <row r="33" spans="1:21">
      <c r="A33" t="s">
        <v>27</v>
      </c>
      <c r="B33" s="10">
        <v>0</v>
      </c>
      <c r="C33" s="7">
        <v>0</v>
      </c>
      <c r="D33" s="7">
        <v>1227726.3939103042</v>
      </c>
      <c r="E33" s="7">
        <v>0</v>
      </c>
      <c r="F33" s="17">
        <f t="shared" si="0"/>
        <v>1227726.3939103042</v>
      </c>
      <c r="K33" s="10">
        <v>0</v>
      </c>
      <c r="L33" s="7">
        <v>0</v>
      </c>
      <c r="M33" s="7"/>
      <c r="N33" s="7">
        <v>0</v>
      </c>
      <c r="O33" s="7">
        <v>0</v>
      </c>
      <c r="P33" s="7"/>
      <c r="Q33" s="7">
        <v>4475000</v>
      </c>
      <c r="R33" s="7">
        <v>5300000</v>
      </c>
      <c r="S33" s="7"/>
      <c r="T33" s="7">
        <v>0</v>
      </c>
      <c r="U33" s="17">
        <v>0</v>
      </c>
    </row>
    <row r="34" spans="1:21">
      <c r="A34" t="s">
        <v>28</v>
      </c>
      <c r="B34" s="10">
        <v>0</v>
      </c>
      <c r="C34" s="7">
        <v>0</v>
      </c>
      <c r="D34" s="7">
        <v>150451.64106891639</v>
      </c>
      <c r="E34" s="7">
        <v>0</v>
      </c>
      <c r="F34" s="17">
        <f t="shared" si="0"/>
        <v>150451.64106891639</v>
      </c>
      <c r="K34" s="10">
        <v>0</v>
      </c>
      <c r="L34" s="7">
        <v>0</v>
      </c>
      <c r="M34" s="7"/>
      <c r="N34" s="7">
        <v>0</v>
      </c>
      <c r="O34" s="7">
        <v>0</v>
      </c>
      <c r="P34" s="7"/>
      <c r="Q34" s="7">
        <v>370000</v>
      </c>
      <c r="R34" s="7">
        <v>178000</v>
      </c>
      <c r="S34" s="7"/>
      <c r="T34" s="7">
        <v>0</v>
      </c>
      <c r="U34" s="17">
        <v>0</v>
      </c>
    </row>
    <row r="35" spans="1:21">
      <c r="A35" t="s">
        <v>29</v>
      </c>
      <c r="B35" s="10">
        <v>0</v>
      </c>
      <c r="C35" s="7">
        <v>0</v>
      </c>
      <c r="D35" s="7">
        <v>1418.8953094634126</v>
      </c>
      <c r="E35" s="7">
        <v>0</v>
      </c>
      <c r="F35" s="17">
        <f t="shared" si="0"/>
        <v>1418.8953094634126</v>
      </c>
      <c r="K35" s="10"/>
      <c r="L35" s="7"/>
      <c r="M35" s="7"/>
      <c r="N35" s="7"/>
      <c r="O35" s="7"/>
      <c r="P35" s="7"/>
      <c r="Q35" s="7"/>
      <c r="R35" s="7"/>
      <c r="S35" s="7"/>
      <c r="T35" s="7"/>
      <c r="U35" s="17"/>
    </row>
    <row r="36" spans="1:21">
      <c r="A36" t="s">
        <v>30</v>
      </c>
      <c r="B36" s="10">
        <v>0</v>
      </c>
      <c r="C36" s="7">
        <v>0</v>
      </c>
      <c r="D36" s="7">
        <v>462301.99046405719</v>
      </c>
      <c r="E36" s="7">
        <v>0</v>
      </c>
      <c r="F36" s="17">
        <f t="shared" si="0"/>
        <v>462301.99046405719</v>
      </c>
      <c r="K36" s="10">
        <v>0</v>
      </c>
      <c r="L36" s="7">
        <v>0</v>
      </c>
      <c r="M36" s="7"/>
      <c r="N36" s="7">
        <v>0</v>
      </c>
      <c r="O36" s="7">
        <v>0</v>
      </c>
      <c r="P36" s="7"/>
      <c r="Q36" s="7">
        <v>1250000</v>
      </c>
      <c r="R36" s="7">
        <v>151039</v>
      </c>
      <c r="S36" s="7"/>
      <c r="T36" s="7">
        <v>0</v>
      </c>
      <c r="U36" s="17">
        <v>0</v>
      </c>
    </row>
    <row r="37" spans="1:21">
      <c r="A37" t="s">
        <v>31</v>
      </c>
      <c r="B37" s="10">
        <v>0</v>
      </c>
      <c r="C37" s="7">
        <v>0</v>
      </c>
      <c r="D37" s="7">
        <v>138025.67471515443</v>
      </c>
      <c r="E37" s="7">
        <v>0</v>
      </c>
      <c r="F37" s="17">
        <f t="shared" si="0"/>
        <v>138025.67471515443</v>
      </c>
      <c r="K37" s="10">
        <v>0</v>
      </c>
      <c r="L37" s="7">
        <v>120000</v>
      </c>
      <c r="M37" s="7"/>
      <c r="N37" s="7">
        <v>0</v>
      </c>
      <c r="O37" s="7">
        <v>0</v>
      </c>
      <c r="P37" s="7"/>
      <c r="Q37" s="7">
        <v>350000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437130.24117462314</v>
      </c>
      <c r="E39" s="7">
        <v>0</v>
      </c>
      <c r="F39" s="17">
        <f t="shared" si="1"/>
        <v>437130.24117462314</v>
      </c>
      <c r="K39" s="10">
        <v>0</v>
      </c>
      <c r="L39" s="7">
        <v>0</v>
      </c>
      <c r="M39" s="7"/>
      <c r="N39" s="7">
        <v>0</v>
      </c>
      <c r="O39" s="7">
        <v>0</v>
      </c>
      <c r="P39" s="7"/>
      <c r="Q39" s="7">
        <v>800000</v>
      </c>
      <c r="R39" s="7">
        <v>0</v>
      </c>
      <c r="S39" s="7"/>
      <c r="T39" s="7">
        <v>0</v>
      </c>
      <c r="U39" s="17">
        <v>0</v>
      </c>
    </row>
    <row r="40" spans="1:21">
      <c r="A40" t="s">
        <v>34</v>
      </c>
      <c r="B40" s="10">
        <v>0</v>
      </c>
      <c r="C40" s="7">
        <v>0</v>
      </c>
      <c r="D40" s="7">
        <v>1181983.4299815244</v>
      </c>
      <c r="E40" s="7">
        <v>0</v>
      </c>
      <c r="F40" s="17">
        <f t="shared" si="1"/>
        <v>1181983.4299815244</v>
      </c>
      <c r="K40" s="10">
        <v>0</v>
      </c>
      <c r="L40" s="7">
        <v>0</v>
      </c>
      <c r="M40" s="7"/>
      <c r="N40" s="7">
        <v>0</v>
      </c>
      <c r="O40" s="7">
        <v>0</v>
      </c>
      <c r="P40" s="7"/>
      <c r="Q40" s="7">
        <v>3202700</v>
      </c>
      <c r="R40" s="7">
        <v>924599</v>
      </c>
      <c r="S40" s="7"/>
      <c r="T40" s="7">
        <v>0</v>
      </c>
      <c r="U40" s="17">
        <v>0</v>
      </c>
    </row>
    <row r="41" spans="1:21">
      <c r="A41" t="s">
        <v>35</v>
      </c>
      <c r="B41" s="10">
        <v>0</v>
      </c>
      <c r="C41" s="7">
        <v>0</v>
      </c>
      <c r="D41" s="7">
        <v>1665995.9281994174</v>
      </c>
      <c r="E41" s="7">
        <v>0</v>
      </c>
      <c r="F41" s="17">
        <f t="shared" si="1"/>
        <v>1665995.9281994174</v>
      </c>
      <c r="K41" s="10">
        <v>0</v>
      </c>
      <c r="L41" s="7">
        <v>0</v>
      </c>
      <c r="M41" s="7"/>
      <c r="N41" s="7">
        <v>0</v>
      </c>
      <c r="O41" s="7">
        <v>0</v>
      </c>
      <c r="P41" s="7"/>
      <c r="Q41" s="7">
        <v>5600000</v>
      </c>
      <c r="R41" s="7">
        <v>0</v>
      </c>
      <c r="S41" s="7"/>
      <c r="T41" s="7">
        <v>0</v>
      </c>
      <c r="U41" s="17">
        <v>0</v>
      </c>
    </row>
    <row r="42" spans="1:21">
      <c r="A42" t="s">
        <v>36</v>
      </c>
      <c r="B42" s="10">
        <v>0</v>
      </c>
      <c r="C42" s="7">
        <v>0</v>
      </c>
      <c r="D42" s="7">
        <v>256652.79618333105</v>
      </c>
      <c r="E42" s="7">
        <v>0</v>
      </c>
      <c r="F42" s="17">
        <f t="shared" si="1"/>
        <v>256652.79618333105</v>
      </c>
      <c r="K42" s="10">
        <v>0</v>
      </c>
      <c r="L42" s="7">
        <v>0</v>
      </c>
      <c r="M42" s="7"/>
      <c r="N42" s="7">
        <v>0</v>
      </c>
      <c r="O42" s="7">
        <v>0</v>
      </c>
      <c r="P42" s="7"/>
      <c r="Q42" s="7">
        <v>850000</v>
      </c>
      <c r="R42" s="7">
        <v>500000</v>
      </c>
      <c r="S42" s="7"/>
      <c r="T42" s="7">
        <v>0</v>
      </c>
      <c r="U42" s="17">
        <v>0</v>
      </c>
    </row>
    <row r="43" spans="1:21">
      <c r="A43" t="s">
        <v>37</v>
      </c>
      <c r="B43" s="10">
        <v>0</v>
      </c>
      <c r="C43" s="7">
        <v>0</v>
      </c>
      <c r="D43" s="7">
        <v>439525.22660148924</v>
      </c>
      <c r="E43" s="7">
        <v>0</v>
      </c>
      <c r="F43" s="17">
        <f t="shared" si="1"/>
        <v>439525.22660148924</v>
      </c>
      <c r="K43" s="10">
        <v>0</v>
      </c>
      <c r="L43" s="7">
        <v>0</v>
      </c>
      <c r="M43" s="7"/>
      <c r="N43" s="7">
        <v>0</v>
      </c>
      <c r="O43" s="7">
        <v>0</v>
      </c>
      <c r="P43" s="7"/>
      <c r="Q43" s="7">
        <v>1688644</v>
      </c>
      <c r="R43" s="7">
        <v>0</v>
      </c>
      <c r="S43" s="7"/>
      <c r="T43" s="7">
        <v>0</v>
      </c>
      <c r="U43" s="17">
        <v>0</v>
      </c>
    </row>
    <row r="44" spans="1:21">
      <c r="A44" t="s">
        <v>38</v>
      </c>
      <c r="B44" s="10">
        <v>0</v>
      </c>
      <c r="C44" s="7">
        <v>0</v>
      </c>
      <c r="D44" s="7">
        <v>396629.45954260463</v>
      </c>
      <c r="E44" s="7">
        <v>0</v>
      </c>
      <c r="F44" s="17">
        <f t="shared" si="1"/>
        <v>396629.45954260463</v>
      </c>
      <c r="K44" s="10">
        <v>0</v>
      </c>
      <c r="L44" s="7">
        <v>0</v>
      </c>
      <c r="M44" s="7"/>
      <c r="N44" s="7">
        <v>0</v>
      </c>
      <c r="O44" s="7">
        <v>0</v>
      </c>
      <c r="P44" s="7"/>
      <c r="Q44" s="7">
        <v>1000000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3105.3100456564425</v>
      </c>
      <c r="E46" s="7">
        <v>0</v>
      </c>
      <c r="F46" s="17">
        <f t="shared" si="1"/>
        <v>3105.3100456564425</v>
      </c>
      <c r="K46" s="10"/>
      <c r="L46" s="7"/>
      <c r="M46" s="7"/>
      <c r="N46" s="7"/>
      <c r="O46" s="7"/>
      <c r="P46" s="7"/>
      <c r="Q46" s="7"/>
      <c r="R46" s="7"/>
      <c r="S46" s="7"/>
      <c r="T46" s="7"/>
      <c r="U46" s="17"/>
    </row>
    <row r="47" spans="1:21">
      <c r="A47" t="s">
        <v>41</v>
      </c>
      <c r="B47" s="10">
        <v>0</v>
      </c>
      <c r="C47" s="7">
        <v>0</v>
      </c>
      <c r="D47" s="7">
        <v>204131.231440223</v>
      </c>
      <c r="E47" s="7">
        <v>0</v>
      </c>
      <c r="F47" s="17">
        <f t="shared" si="1"/>
        <v>204131.231440223</v>
      </c>
      <c r="K47" s="10">
        <v>0</v>
      </c>
      <c r="L47" s="7">
        <v>0</v>
      </c>
      <c r="M47" s="7"/>
      <c r="N47" s="7">
        <v>0</v>
      </c>
      <c r="O47" s="7">
        <v>0</v>
      </c>
      <c r="P47" s="7"/>
      <c r="Q47" s="7">
        <v>600000</v>
      </c>
      <c r="R47" s="7">
        <v>0</v>
      </c>
      <c r="S47" s="7"/>
      <c r="T47" s="7">
        <v>0</v>
      </c>
      <c r="U47" s="17">
        <v>0</v>
      </c>
    </row>
    <row r="48" spans="1:21">
      <c r="A48" t="s">
        <v>42</v>
      </c>
      <c r="B48" s="10">
        <v>0</v>
      </c>
      <c r="C48" s="7">
        <v>0</v>
      </c>
      <c r="D48" s="7">
        <v>1382552.914250501</v>
      </c>
      <c r="E48" s="7">
        <v>0</v>
      </c>
      <c r="F48" s="17">
        <f t="shared" si="1"/>
        <v>1382552.914250501</v>
      </c>
      <c r="K48" s="10">
        <v>0</v>
      </c>
      <c r="L48" s="7">
        <v>0</v>
      </c>
      <c r="M48" s="7"/>
      <c r="N48" s="7">
        <v>0</v>
      </c>
      <c r="O48" s="7">
        <v>0</v>
      </c>
      <c r="P48" s="7"/>
      <c r="Q48" s="7">
        <v>3748806</v>
      </c>
      <c r="R48" s="7">
        <v>1475000</v>
      </c>
      <c r="S48" s="7"/>
      <c r="T48" s="7">
        <v>0</v>
      </c>
      <c r="U48" s="17">
        <v>0</v>
      </c>
    </row>
    <row r="49" spans="1:21">
      <c r="A49" t="s">
        <v>43</v>
      </c>
      <c r="B49" s="10">
        <v>0</v>
      </c>
      <c r="C49" s="7">
        <v>0</v>
      </c>
      <c r="D49" s="7">
        <v>304712.82908186899</v>
      </c>
      <c r="E49" s="7">
        <v>0</v>
      </c>
      <c r="F49" s="17">
        <f t="shared" si="1"/>
        <v>304712.82908186899</v>
      </c>
      <c r="K49" s="10">
        <v>0</v>
      </c>
      <c r="L49" s="7">
        <v>0</v>
      </c>
      <c r="M49" s="7"/>
      <c r="N49" s="7">
        <v>0</v>
      </c>
      <c r="O49" s="7">
        <v>0</v>
      </c>
      <c r="P49" s="7"/>
      <c r="Q49" s="7">
        <v>1000000</v>
      </c>
      <c r="R49" s="7">
        <v>0</v>
      </c>
      <c r="S49" s="7"/>
      <c r="T49" s="7">
        <v>0</v>
      </c>
      <c r="U49" s="17">
        <v>0</v>
      </c>
    </row>
    <row r="50" spans="1:21">
      <c r="A50" t="s">
        <v>44</v>
      </c>
      <c r="B50" s="10">
        <v>0</v>
      </c>
      <c r="C50" s="7">
        <v>0</v>
      </c>
      <c r="D50" s="7">
        <v>995032.27117631142</v>
      </c>
      <c r="E50" s="7">
        <v>0</v>
      </c>
      <c r="F50" s="17">
        <f t="shared" si="1"/>
        <v>995032.27117631142</v>
      </c>
      <c r="K50" s="10">
        <v>0</v>
      </c>
      <c r="L50" s="7">
        <v>600000</v>
      </c>
      <c r="M50" s="7"/>
      <c r="N50" s="7">
        <v>0</v>
      </c>
      <c r="O50" s="7">
        <v>0</v>
      </c>
      <c r="P50" s="7"/>
      <c r="Q50" s="7">
        <v>3221193.5</v>
      </c>
      <c r="R50" s="7">
        <v>1164901</v>
      </c>
      <c r="S50" s="7"/>
      <c r="T50" s="7">
        <v>0</v>
      </c>
      <c r="U50" s="17">
        <v>0</v>
      </c>
    </row>
    <row r="51" spans="1:21">
      <c r="A51" t="s">
        <v>45</v>
      </c>
      <c r="B51" s="10">
        <v>0</v>
      </c>
      <c r="C51" s="7">
        <v>0</v>
      </c>
      <c r="D51" s="7">
        <v>41126.124017399066</v>
      </c>
      <c r="E51" s="7">
        <v>0</v>
      </c>
      <c r="F51" s="17">
        <f t="shared" si="1"/>
        <v>41126.124017399066</v>
      </c>
      <c r="K51" s="10">
        <v>0</v>
      </c>
      <c r="L51" s="7">
        <v>0</v>
      </c>
      <c r="M51" s="7"/>
      <c r="N51" s="7">
        <v>0</v>
      </c>
      <c r="O51" s="7">
        <v>0</v>
      </c>
      <c r="P51" s="7"/>
      <c r="Q51" s="7">
        <v>125000</v>
      </c>
      <c r="R51" s="7">
        <v>0</v>
      </c>
      <c r="S51" s="7"/>
      <c r="T51" s="7">
        <v>0</v>
      </c>
      <c r="U51" s="17">
        <v>0</v>
      </c>
    </row>
    <row r="52" spans="1:21">
      <c r="A52" t="s">
        <v>46</v>
      </c>
      <c r="B52" s="10">
        <v>0</v>
      </c>
      <c r="C52" s="7">
        <v>0</v>
      </c>
      <c r="D52" s="7">
        <v>9368.7280901964041</v>
      </c>
      <c r="E52" s="7">
        <v>0</v>
      </c>
      <c r="F52" s="17">
        <f t="shared" si="1"/>
        <v>9368.7280901964041</v>
      </c>
      <c r="K52" s="10">
        <v>0</v>
      </c>
      <c r="L52" s="7">
        <v>0</v>
      </c>
      <c r="M52" s="7"/>
      <c r="N52" s="7">
        <v>0</v>
      </c>
      <c r="O52" s="7">
        <v>0</v>
      </c>
      <c r="P52" s="7"/>
      <c r="Q52" s="7">
        <v>27500</v>
      </c>
      <c r="R52" s="7">
        <v>0</v>
      </c>
      <c r="S52" s="7"/>
      <c r="T52" s="7">
        <v>0</v>
      </c>
      <c r="U52" s="17">
        <v>0</v>
      </c>
    </row>
    <row r="53" spans="1:21">
      <c r="A53" t="s">
        <v>47</v>
      </c>
      <c r="B53" s="10">
        <v>0</v>
      </c>
      <c r="C53" s="7">
        <v>0</v>
      </c>
      <c r="D53" s="7">
        <v>278008.64026696119</v>
      </c>
      <c r="E53" s="7">
        <v>0</v>
      </c>
      <c r="F53" s="17">
        <f t="shared" si="1"/>
        <v>278008.64026696119</v>
      </c>
      <c r="K53" s="10">
        <v>0</v>
      </c>
      <c r="L53" s="7">
        <v>0</v>
      </c>
      <c r="M53" s="7"/>
      <c r="N53" s="7">
        <v>0</v>
      </c>
      <c r="O53" s="7">
        <v>0</v>
      </c>
      <c r="P53" s="7"/>
      <c r="Q53" s="7">
        <v>850915</v>
      </c>
      <c r="R53" s="7">
        <v>455000</v>
      </c>
      <c r="S53" s="7"/>
      <c r="T53" s="7">
        <v>0</v>
      </c>
      <c r="U53" s="17">
        <v>0</v>
      </c>
    </row>
    <row r="54" spans="1:21">
      <c r="A54" t="s">
        <v>48</v>
      </c>
      <c r="B54" s="10">
        <v>0</v>
      </c>
      <c r="C54" s="7">
        <v>0</v>
      </c>
      <c r="D54" s="7">
        <v>3184326.5314841494</v>
      </c>
      <c r="E54" s="7">
        <v>0</v>
      </c>
      <c r="F54" s="17">
        <f t="shared" si="1"/>
        <v>3184326.5314841494</v>
      </c>
      <c r="K54" s="10">
        <v>0</v>
      </c>
      <c r="L54" s="7">
        <v>0</v>
      </c>
      <c r="M54" s="7"/>
      <c r="N54" s="7">
        <v>0</v>
      </c>
      <c r="O54" s="7">
        <v>0</v>
      </c>
      <c r="P54" s="7"/>
      <c r="Q54" s="7">
        <v>3000000</v>
      </c>
      <c r="R54" s="7">
        <v>2169430</v>
      </c>
      <c r="S54" s="7"/>
      <c r="T54" s="7">
        <v>0</v>
      </c>
      <c r="U54" s="17">
        <v>0</v>
      </c>
    </row>
    <row r="55" spans="1:21">
      <c r="A55" t="s">
        <v>49</v>
      </c>
      <c r="B55" s="10">
        <v>0</v>
      </c>
      <c r="C55" s="7">
        <v>0</v>
      </c>
      <c r="D55" s="7">
        <v>81642.898826692865</v>
      </c>
      <c r="E55" s="7">
        <v>0</v>
      </c>
      <c r="F55" s="17">
        <f t="shared" si="1"/>
        <v>81642.898826692865</v>
      </c>
      <c r="K55" s="10">
        <v>0</v>
      </c>
      <c r="L55" s="7">
        <v>0</v>
      </c>
      <c r="M55" s="7"/>
      <c r="N55" s="7">
        <v>0</v>
      </c>
      <c r="O55" s="7">
        <v>0</v>
      </c>
      <c r="P55" s="7"/>
      <c r="Q55" s="7">
        <v>350000</v>
      </c>
      <c r="R55" s="7">
        <v>280</v>
      </c>
      <c r="S55" s="7"/>
      <c r="T55" s="7">
        <v>0</v>
      </c>
      <c r="U55" s="17">
        <v>0</v>
      </c>
    </row>
    <row r="56" spans="1:21">
      <c r="A56" t="s">
        <v>50</v>
      </c>
      <c r="B56" s="10">
        <v>0</v>
      </c>
      <c r="C56" s="7">
        <v>0</v>
      </c>
      <c r="D56" s="7">
        <v>62220.504055929196</v>
      </c>
      <c r="E56" s="7">
        <v>0</v>
      </c>
      <c r="F56" s="17">
        <f t="shared" si="1"/>
        <v>62220.504055929196</v>
      </c>
      <c r="K56" s="10"/>
      <c r="L56" s="7"/>
      <c r="M56" s="7"/>
      <c r="N56" s="7"/>
      <c r="O56" s="7"/>
      <c r="P56" s="7"/>
      <c r="Q56" s="7"/>
      <c r="R56" s="7"/>
      <c r="S56" s="7"/>
      <c r="T56" s="7"/>
      <c r="U56" s="17"/>
    </row>
    <row r="57" spans="1:21">
      <c r="A57" t="s">
        <v>51</v>
      </c>
      <c r="B57" s="10">
        <v>0</v>
      </c>
      <c r="C57" s="7">
        <v>0</v>
      </c>
      <c r="D57" s="7">
        <v>178809.4463966983</v>
      </c>
      <c r="E57" s="7">
        <v>0</v>
      </c>
      <c r="F57" s="17">
        <f t="shared" si="1"/>
        <v>178809.4463966983</v>
      </c>
      <c r="K57" s="10">
        <v>0</v>
      </c>
      <c r="L57" s="7">
        <v>0</v>
      </c>
      <c r="M57" s="7"/>
      <c r="N57" s="7">
        <v>0</v>
      </c>
      <c r="O57" s="7">
        <v>0</v>
      </c>
      <c r="P57" s="7"/>
      <c r="Q57" s="7">
        <v>275000</v>
      </c>
      <c r="R57" s="7">
        <v>410327</v>
      </c>
      <c r="S57" s="7"/>
      <c r="T57" s="7">
        <v>0</v>
      </c>
      <c r="U57" s="17">
        <v>0</v>
      </c>
    </row>
    <row r="58" spans="1:21">
      <c r="A58" t="s">
        <v>52</v>
      </c>
      <c r="B58" s="10">
        <v>0</v>
      </c>
      <c r="C58" s="7">
        <v>0</v>
      </c>
      <c r="D58" s="7">
        <v>204.75353506252162</v>
      </c>
      <c r="E58" s="7">
        <v>0</v>
      </c>
      <c r="F58" s="17">
        <f t="shared" si="1"/>
        <v>204.75353506252162</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34231398.868000031</v>
      </c>
      <c r="E60" s="7">
        <f>SUM(E6:E58)</f>
        <v>0</v>
      </c>
      <c r="F60" s="17">
        <f>SUM(F6:F58)</f>
        <v>34231398.868000031</v>
      </c>
      <c r="K60" s="10">
        <f>SUM(K6:K58)</f>
        <v>9517</v>
      </c>
      <c r="L60" s="7">
        <f>SUM(L6:L58)</f>
        <v>729780</v>
      </c>
      <c r="M60" s="7"/>
      <c r="N60" s="7">
        <f>SUM(N6:N58)</f>
        <v>0</v>
      </c>
      <c r="O60" s="7">
        <f>SUM(O6:O58)</f>
        <v>0</v>
      </c>
      <c r="P60" s="7"/>
      <c r="Q60" s="7">
        <f>SUM(Q6:Q58)</f>
        <v>85880466.5</v>
      </c>
      <c r="R60" s="7">
        <f>SUM(R6:R58)</f>
        <v>29218274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Integrity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183593657</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21135792.020000014</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3548310.3396813767</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6866971.4094806788</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89020911.450000003</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17078191.719999999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109045627.59916209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109045627.59916206</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109045627.59916206</v>
      </c>
      <c r="C50" s="7">
        <v>0</v>
      </c>
      <c r="D50" s="7">
        <v>0</v>
      </c>
      <c r="E50" s="7">
        <v>0</v>
      </c>
      <c r="F50" s="17">
        <f t="shared" si="1"/>
        <v>109045627.59916206</v>
      </c>
      <c r="K50" s="10">
        <v>91939000</v>
      </c>
      <c r="L50" s="7">
        <v>0</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109045627.59916206</v>
      </c>
      <c r="C60" s="7">
        <f>SUM(C6:C58)</f>
        <v>0</v>
      </c>
      <c r="D60" s="7">
        <f>SUM(D6:D58)</f>
        <v>0</v>
      </c>
      <c r="E60" s="7">
        <f>SUM(E6:E58)</f>
        <v>0</v>
      </c>
      <c r="F60" s="17">
        <f>SUM(F6:F58)</f>
        <v>109045627.59916206</v>
      </c>
      <c r="K60" s="10">
        <f>SUM(K6:K58)</f>
        <v>91939000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Italic"Memorial Service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4590.7664653232732</v>
      </c>
      <c r="C6" s="7">
        <v>0</v>
      </c>
      <c r="D6" s="7">
        <v>27.118388534602786</v>
      </c>
      <c r="E6" s="7">
        <v>0</v>
      </c>
      <c r="F6" s="17">
        <f t="shared" ref="F6:F37" si="0">SUM(B6:E6)</f>
        <v>4617.8848538578759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7269.968884490585</v>
      </c>
      <c r="C8" s="7">
        <v>2.3521237018649055</v>
      </c>
      <c r="D8" s="7">
        <v>4.4975456238689562</v>
      </c>
      <c r="E8" s="7">
        <v>0</v>
      </c>
      <c r="F8" s="17">
        <f t="shared" si="0"/>
        <v>7276.8185538163189</v>
      </c>
      <c r="H8" s="4" t="s">
        <v>64</v>
      </c>
      <c r="I8" s="13"/>
      <c r="K8" s="10"/>
      <c r="L8" s="7"/>
      <c r="M8" s="7"/>
      <c r="N8" s="7"/>
      <c r="O8" s="7"/>
      <c r="P8" s="7"/>
      <c r="Q8" s="7"/>
      <c r="R8" s="7"/>
      <c r="S8" s="7"/>
      <c r="T8" s="7"/>
      <c r="U8" s="17"/>
    </row>
    <row r="9" spans="1:21">
      <c r="A9" t="s">
        <v>3</v>
      </c>
      <c r="B9" s="10">
        <v>5605.4602668359239</v>
      </c>
      <c r="C9" s="7">
        <v>0</v>
      </c>
      <c r="D9" s="7">
        <v>3.3998772283516772</v>
      </c>
      <c r="E9" s="7">
        <v>0</v>
      </c>
      <c r="F9" s="17">
        <f t="shared" si="0"/>
        <v>5608.860144064276</v>
      </c>
      <c r="H9" s="4"/>
      <c r="I9" s="13"/>
      <c r="K9" s="10">
        <v>9571</v>
      </c>
      <c r="L9" s="7">
        <v>0</v>
      </c>
      <c r="M9" s="7"/>
      <c r="N9" s="7">
        <v>0</v>
      </c>
      <c r="O9" s="7">
        <v>0</v>
      </c>
      <c r="P9" s="7"/>
      <c r="Q9" s="7">
        <v>0</v>
      </c>
      <c r="R9" s="7">
        <v>0</v>
      </c>
      <c r="S9" s="7"/>
      <c r="T9" s="7">
        <v>0</v>
      </c>
      <c r="U9" s="17">
        <v>0</v>
      </c>
    </row>
    <row r="10" spans="1:21">
      <c r="A10" t="s">
        <v>4</v>
      </c>
      <c r="B10" s="10">
        <v>43640.22094975636</v>
      </c>
      <c r="C10" s="7">
        <v>0</v>
      </c>
      <c r="D10" s="7">
        <v>2.6908219571719187</v>
      </c>
      <c r="E10" s="7">
        <v>0</v>
      </c>
      <c r="F10" s="17">
        <f t="shared" si="0"/>
        <v>43642.91177171353</v>
      </c>
      <c r="H10" s="4" t="s">
        <v>65</v>
      </c>
      <c r="I10" s="14">
        <v>0</v>
      </c>
      <c r="K10" s="10"/>
      <c r="L10" s="7"/>
      <c r="M10" s="7"/>
      <c r="N10" s="7"/>
      <c r="O10" s="7"/>
      <c r="P10" s="7"/>
      <c r="Q10" s="7"/>
      <c r="R10" s="7"/>
      <c r="S10" s="7"/>
      <c r="T10" s="7"/>
      <c r="U10" s="17"/>
    </row>
    <row r="11" spans="1:21">
      <c r="A11" t="s">
        <v>5</v>
      </c>
      <c r="B11" s="10">
        <v>15115.129760461294</v>
      </c>
      <c r="C11" s="7">
        <v>0</v>
      </c>
      <c r="D11" s="7">
        <v>1.4933092159452144</v>
      </c>
      <c r="E11" s="7">
        <v>0</v>
      </c>
      <c r="F11" s="17">
        <f t="shared" si="0"/>
        <v>15116.623069677238</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23744.905344724222</v>
      </c>
      <c r="C15" s="7">
        <v>67.00194647231713</v>
      </c>
      <c r="D15" s="7">
        <v>0.49895066521938292</v>
      </c>
      <c r="E15" s="7">
        <v>0</v>
      </c>
      <c r="F15" s="17">
        <f t="shared" si="0"/>
        <v>23812.406241861758</v>
      </c>
      <c r="H15" s="4" t="s">
        <v>69</v>
      </c>
      <c r="I15" s="14">
        <v>368159.82000000018</v>
      </c>
      <c r="K15" s="10"/>
      <c r="L15" s="7"/>
      <c r="M15" s="7"/>
      <c r="N15" s="7"/>
      <c r="O15" s="7"/>
      <c r="P15" s="7"/>
      <c r="Q15" s="7"/>
      <c r="R15" s="7"/>
      <c r="S15" s="7"/>
      <c r="T15" s="7"/>
      <c r="U15" s="17"/>
    </row>
    <row r="16" spans="1:21">
      <c r="A16" t="s">
        <v>10</v>
      </c>
      <c r="B16" s="10">
        <v>14698.59839788166</v>
      </c>
      <c r="C16" s="7">
        <v>0</v>
      </c>
      <c r="D16" s="7">
        <v>2.0350444233685994</v>
      </c>
      <c r="E16" s="7">
        <v>0</v>
      </c>
      <c r="F16" s="17">
        <f t="shared" si="0"/>
        <v>14700.633442305028</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140.99648427760079</v>
      </c>
      <c r="C18" s="7">
        <v>0</v>
      </c>
      <c r="D18" s="7">
        <v>0</v>
      </c>
      <c r="E18" s="7">
        <v>0</v>
      </c>
      <c r="F18" s="17">
        <f t="shared" si="0"/>
        <v>140.99648427760079</v>
      </c>
      <c r="H18" s="4" t="s">
        <v>71</v>
      </c>
      <c r="I18" s="14"/>
      <c r="K18" s="10"/>
      <c r="L18" s="7"/>
      <c r="M18" s="7"/>
      <c r="N18" s="7"/>
      <c r="O18" s="7"/>
      <c r="P18" s="7"/>
      <c r="Q18" s="7"/>
      <c r="R18" s="7"/>
      <c r="S18" s="7"/>
      <c r="T18" s="7"/>
      <c r="U18" s="17"/>
    </row>
    <row r="19" spans="1:21">
      <c r="A19" t="s">
        <v>13</v>
      </c>
      <c r="B19" s="10">
        <v>2384.9405319296302</v>
      </c>
      <c r="C19" s="7">
        <v>0</v>
      </c>
      <c r="D19" s="7">
        <v>0</v>
      </c>
      <c r="E19" s="7">
        <v>0</v>
      </c>
      <c r="F19" s="17">
        <f t="shared" si="0"/>
        <v>2384.9405319296302</v>
      </c>
      <c r="H19" s="4" t="s">
        <v>72</v>
      </c>
      <c r="I19" s="14">
        <v>0</v>
      </c>
      <c r="K19" s="10"/>
      <c r="L19" s="7"/>
      <c r="M19" s="7"/>
      <c r="N19" s="7"/>
      <c r="O19" s="7"/>
      <c r="P19" s="7"/>
      <c r="Q19" s="7"/>
      <c r="R19" s="7"/>
      <c r="S19" s="7"/>
      <c r="T19" s="7"/>
      <c r="U19" s="17"/>
    </row>
    <row r="20" spans="1:21">
      <c r="A20" t="s">
        <v>14</v>
      </c>
      <c r="B20" s="10">
        <v>2080.6629396956087</v>
      </c>
      <c r="C20" s="7">
        <v>0</v>
      </c>
      <c r="D20" s="7">
        <v>0.28517223125110069</v>
      </c>
      <c r="E20" s="7">
        <v>0</v>
      </c>
      <c r="F20" s="17">
        <f t="shared" si="0"/>
        <v>2080.9481119268598</v>
      </c>
      <c r="H20" s="4" t="s">
        <v>73</v>
      </c>
      <c r="I20" s="14">
        <v>0</v>
      </c>
      <c r="K20" s="10"/>
      <c r="L20" s="7"/>
      <c r="M20" s="7"/>
      <c r="N20" s="7"/>
      <c r="O20" s="7"/>
      <c r="P20" s="7"/>
      <c r="Q20" s="7"/>
      <c r="R20" s="7"/>
      <c r="S20" s="7"/>
      <c r="T20" s="7"/>
      <c r="U20" s="17"/>
    </row>
    <row r="21" spans="1:21">
      <c r="A21" t="s">
        <v>15</v>
      </c>
      <c r="B21" s="10">
        <v>357.99107355589416</v>
      </c>
      <c r="C21" s="7">
        <v>0</v>
      </c>
      <c r="D21" s="7">
        <v>0</v>
      </c>
      <c r="E21" s="7">
        <v>0</v>
      </c>
      <c r="F21" s="17">
        <f t="shared" si="0"/>
        <v>357.99107355589416</v>
      </c>
      <c r="H21" s="4" t="s">
        <v>74</v>
      </c>
      <c r="I21" s="14"/>
      <c r="K21" s="10"/>
      <c r="L21" s="7"/>
      <c r="M21" s="7"/>
      <c r="N21" s="7"/>
      <c r="O21" s="7"/>
      <c r="P21" s="7"/>
      <c r="Q21" s="7"/>
      <c r="R21" s="7"/>
      <c r="S21" s="7"/>
      <c r="T21" s="7"/>
      <c r="U21" s="17"/>
    </row>
    <row r="22" spans="1:21">
      <c r="A22" t="s">
        <v>16</v>
      </c>
      <c r="B22" s="10">
        <v>9066.4623478730446</v>
      </c>
      <c r="C22" s="7">
        <v>0</v>
      </c>
      <c r="D22" s="7">
        <v>1.3115487885434807</v>
      </c>
      <c r="E22" s="7">
        <v>0</v>
      </c>
      <c r="F22" s="17">
        <f t="shared" si="0"/>
        <v>9067.7738966615889</v>
      </c>
      <c r="H22" s="4" t="s">
        <v>75</v>
      </c>
      <c r="I22" s="14">
        <v>0</v>
      </c>
      <c r="K22" s="10"/>
      <c r="L22" s="7"/>
      <c r="M22" s="7"/>
      <c r="N22" s="7"/>
      <c r="O22" s="7"/>
      <c r="P22" s="7"/>
      <c r="Q22" s="7"/>
      <c r="R22" s="7"/>
      <c r="S22" s="7"/>
      <c r="T22" s="7"/>
      <c r="U22" s="17"/>
    </row>
    <row r="23" spans="1:21">
      <c r="A23" t="s">
        <v>17</v>
      </c>
      <c r="B23" s="10">
        <v>2443.9390608117469</v>
      </c>
      <c r="C23" s="7">
        <v>0</v>
      </c>
      <c r="D23" s="7">
        <v>0</v>
      </c>
      <c r="E23" s="7">
        <v>0</v>
      </c>
      <c r="F23" s="17">
        <f t="shared" si="0"/>
        <v>2443.9390608117469</v>
      </c>
      <c r="H23" s="4" t="s">
        <v>76</v>
      </c>
      <c r="I23" s="14"/>
      <c r="K23" s="10"/>
      <c r="L23" s="7"/>
      <c r="M23" s="7"/>
      <c r="N23" s="7"/>
      <c r="O23" s="7"/>
      <c r="P23" s="7"/>
      <c r="Q23" s="7"/>
      <c r="R23" s="7"/>
      <c r="S23" s="7"/>
      <c r="T23" s="7"/>
      <c r="U23" s="17"/>
    </row>
    <row r="24" spans="1:21">
      <c r="A24" t="s">
        <v>18</v>
      </c>
      <c r="B24" s="10">
        <v>9564.477875793842</v>
      </c>
      <c r="C24" s="7">
        <v>0</v>
      </c>
      <c r="D24" s="7">
        <v>6.2834789644345594</v>
      </c>
      <c r="E24" s="7">
        <v>0</v>
      </c>
      <c r="F24" s="17">
        <f t="shared" si="0"/>
        <v>9570.7613547582769</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368159.82000000018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368159.81999999995</v>
      </c>
      <c r="K27" s="10"/>
      <c r="L27" s="7"/>
      <c r="M27" s="7"/>
      <c r="N27" s="7"/>
      <c r="O27" s="7"/>
      <c r="P27" s="7"/>
      <c r="Q27" s="7"/>
      <c r="R27" s="7"/>
      <c r="S27" s="7"/>
      <c r="T27" s="7"/>
      <c r="U27" s="17"/>
    </row>
    <row r="28" spans="1:21">
      <c r="A28" t="s">
        <v>22</v>
      </c>
      <c r="B28" s="10">
        <v>589.38630088630032</v>
      </c>
      <c r="C28" s="7">
        <v>0</v>
      </c>
      <c r="D28" s="7">
        <v>0.59898793486602775</v>
      </c>
      <c r="E28" s="7">
        <v>0</v>
      </c>
      <c r="F28" s="17">
        <f t="shared" si="0"/>
        <v>589.98528882116636</v>
      </c>
      <c r="H28" s="23"/>
      <c r="I28" s="25"/>
      <c r="K28" s="10"/>
      <c r="L28" s="7"/>
      <c r="M28" s="7"/>
      <c r="N28" s="7"/>
      <c r="O28" s="7"/>
      <c r="P28" s="7"/>
      <c r="Q28" s="7"/>
      <c r="R28" s="7"/>
      <c r="S28" s="7"/>
      <c r="T28" s="7"/>
      <c r="U28" s="17"/>
    </row>
    <row r="29" spans="1:21">
      <c r="A29" t="s">
        <v>23</v>
      </c>
      <c r="B29" s="10">
        <v>200.99498822551604</v>
      </c>
      <c r="C29" s="7">
        <v>0</v>
      </c>
      <c r="D29" s="7">
        <v>0</v>
      </c>
      <c r="E29" s="7">
        <v>0</v>
      </c>
      <c r="F29" s="17">
        <f t="shared" si="0"/>
        <v>200.99498822551604</v>
      </c>
      <c r="K29" s="10"/>
      <c r="L29" s="7"/>
      <c r="M29" s="7"/>
      <c r="N29" s="7"/>
      <c r="O29" s="7"/>
      <c r="P29" s="7"/>
      <c r="Q29" s="7"/>
      <c r="R29" s="7"/>
      <c r="S29" s="7"/>
      <c r="T29" s="7"/>
      <c r="U29" s="17"/>
    </row>
    <row r="30" spans="1:21">
      <c r="A30" t="s">
        <v>24</v>
      </c>
      <c r="B30" s="10">
        <v>2398.9401828508103</v>
      </c>
      <c r="C30" s="7">
        <v>0</v>
      </c>
      <c r="D30" s="7">
        <v>0</v>
      </c>
      <c r="E30" s="7">
        <v>0</v>
      </c>
      <c r="F30" s="17">
        <f t="shared" si="0"/>
        <v>2398.9401828508103</v>
      </c>
      <c r="K30" s="10"/>
      <c r="L30" s="7"/>
      <c r="M30" s="7"/>
      <c r="N30" s="7"/>
      <c r="O30" s="7"/>
      <c r="P30" s="7"/>
      <c r="Q30" s="7"/>
      <c r="R30" s="7"/>
      <c r="S30" s="7"/>
      <c r="T30" s="7"/>
      <c r="U30" s="17"/>
    </row>
    <row r="31" spans="1:21">
      <c r="A31" t="s">
        <v>25</v>
      </c>
      <c r="B31" s="10">
        <v>11042.505323914518</v>
      </c>
      <c r="C31" s="7">
        <v>2.8797111174839132</v>
      </c>
      <c r="D31" s="7">
        <v>3.3394669765871621</v>
      </c>
      <c r="E31" s="7">
        <v>0</v>
      </c>
      <c r="F31" s="17">
        <f t="shared" si="0"/>
        <v>11048.72450200859</v>
      </c>
      <c r="K31" s="10"/>
      <c r="L31" s="7"/>
      <c r="M31" s="7"/>
      <c r="N31" s="7"/>
      <c r="O31" s="7"/>
      <c r="P31" s="7"/>
      <c r="Q31" s="7"/>
      <c r="R31" s="7"/>
      <c r="S31" s="7"/>
      <c r="T31" s="7"/>
      <c r="U31" s="17"/>
    </row>
    <row r="32" spans="1:21">
      <c r="A32" t="s">
        <v>26</v>
      </c>
      <c r="B32" s="10">
        <v>99.997506579858694</v>
      </c>
      <c r="C32" s="7">
        <v>0</v>
      </c>
      <c r="D32" s="7">
        <v>0</v>
      </c>
      <c r="E32" s="7">
        <v>0</v>
      </c>
      <c r="F32" s="17">
        <f t="shared" si="0"/>
        <v>99.997506579858694</v>
      </c>
      <c r="K32" s="10"/>
      <c r="L32" s="7"/>
      <c r="M32" s="7"/>
      <c r="N32" s="7"/>
      <c r="O32" s="7"/>
      <c r="P32" s="7"/>
      <c r="Q32" s="7"/>
      <c r="R32" s="7"/>
      <c r="S32" s="7"/>
      <c r="T32" s="7"/>
      <c r="U32" s="17"/>
    </row>
    <row r="33" spans="1:21">
      <c r="A33" t="s">
        <v>27</v>
      </c>
      <c r="B33" s="10">
        <v>438.98905388557972</v>
      </c>
      <c r="C33" s="7">
        <v>0</v>
      </c>
      <c r="D33" s="7">
        <v>0</v>
      </c>
      <c r="E33" s="7">
        <v>0</v>
      </c>
      <c r="F33" s="17">
        <f t="shared" si="0"/>
        <v>438.98905388557972</v>
      </c>
      <c r="K33" s="10"/>
      <c r="L33" s="7"/>
      <c r="M33" s="7"/>
      <c r="N33" s="7"/>
      <c r="O33" s="7"/>
      <c r="P33" s="7"/>
      <c r="Q33" s="7"/>
      <c r="R33" s="7"/>
      <c r="S33" s="7"/>
      <c r="T33" s="7"/>
      <c r="U33" s="17"/>
    </row>
    <row r="34" spans="1:21">
      <c r="A34" t="s">
        <v>28</v>
      </c>
      <c r="B34" s="10">
        <v>1572.436789744768</v>
      </c>
      <c r="C34" s="7">
        <v>0</v>
      </c>
      <c r="D34" s="7">
        <v>0.52398875640960274</v>
      </c>
      <c r="E34" s="7">
        <v>0</v>
      </c>
      <c r="F34" s="17">
        <f t="shared" si="0"/>
        <v>1572.9607785011776</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3026.9245241723229</v>
      </c>
      <c r="C37" s="7">
        <v>0</v>
      </c>
      <c r="D37" s="7">
        <v>0</v>
      </c>
      <c r="E37" s="7">
        <v>0</v>
      </c>
      <c r="F37" s="17">
        <f t="shared" si="0"/>
        <v>3026.9245241723229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9935.3138917951401</v>
      </c>
      <c r="C39" s="7">
        <v>0</v>
      </c>
      <c r="D39" s="7">
        <v>0.43836197962184636</v>
      </c>
      <c r="E39" s="7">
        <v>0</v>
      </c>
      <c r="F39" s="17">
        <f t="shared" si="1"/>
        <v>9935.7522537747627</v>
      </c>
      <c r="K39" s="10"/>
      <c r="L39" s="7"/>
      <c r="M39" s="7"/>
      <c r="N39" s="7"/>
      <c r="O39" s="7"/>
      <c r="P39" s="7"/>
      <c r="Q39" s="7"/>
      <c r="R39" s="7"/>
      <c r="S39" s="7"/>
      <c r="T39" s="7"/>
      <c r="U39" s="17"/>
    </row>
    <row r="40" spans="1:21">
      <c r="A40" t="s">
        <v>34</v>
      </c>
      <c r="B40" s="10">
        <v>34.999127302950548</v>
      </c>
      <c r="C40" s="7">
        <v>0</v>
      </c>
      <c r="D40" s="7">
        <v>0</v>
      </c>
      <c r="E40" s="7">
        <v>0</v>
      </c>
      <c r="F40" s="17">
        <f t="shared" si="1"/>
        <v>34.999127302950548</v>
      </c>
      <c r="K40" s="10"/>
      <c r="L40" s="7"/>
      <c r="M40" s="7"/>
      <c r="N40" s="7"/>
      <c r="O40" s="7"/>
      <c r="P40" s="7"/>
      <c r="Q40" s="7"/>
      <c r="R40" s="7"/>
      <c r="S40" s="7"/>
      <c r="T40" s="7"/>
      <c r="U40" s="17"/>
    </row>
    <row r="41" spans="1:21">
      <c r="A41" t="s">
        <v>35</v>
      </c>
      <c r="B41" s="10">
        <v>3474.9133536500899</v>
      </c>
      <c r="C41" s="7">
        <v>0</v>
      </c>
      <c r="D41" s="7">
        <v>0</v>
      </c>
      <c r="E41" s="7">
        <v>0</v>
      </c>
      <c r="F41" s="17">
        <f t="shared" si="1"/>
        <v>3474.9133536500899</v>
      </c>
      <c r="K41" s="10"/>
      <c r="L41" s="7"/>
      <c r="M41" s="7"/>
      <c r="N41" s="7"/>
      <c r="O41" s="7"/>
      <c r="P41" s="7"/>
      <c r="Q41" s="7"/>
      <c r="R41" s="7"/>
      <c r="S41" s="7"/>
      <c r="T41" s="7"/>
      <c r="U41" s="17"/>
    </row>
    <row r="42" spans="1:21">
      <c r="A42" t="s">
        <v>36</v>
      </c>
      <c r="B42" s="10">
        <v>41483.266461687148</v>
      </c>
      <c r="C42" s="7">
        <v>1065.5226009733472</v>
      </c>
      <c r="D42" s="7">
        <v>195.14512490011015</v>
      </c>
      <c r="E42" s="7">
        <v>0</v>
      </c>
      <c r="F42" s="17">
        <f t="shared" si="1"/>
        <v>42743.934187560604</v>
      </c>
      <c r="K42" s="10"/>
      <c r="L42" s="7"/>
      <c r="M42" s="7"/>
      <c r="N42" s="7"/>
      <c r="O42" s="7"/>
      <c r="P42" s="7"/>
      <c r="Q42" s="7"/>
      <c r="R42" s="7"/>
      <c r="S42" s="7"/>
      <c r="T42" s="7"/>
      <c r="U42" s="17"/>
    </row>
    <row r="43" spans="1:21">
      <c r="A43" t="s">
        <v>37</v>
      </c>
      <c r="B43" s="10">
        <v>655.58824912625721</v>
      </c>
      <c r="C43" s="7">
        <v>0</v>
      </c>
      <c r="D43" s="7">
        <v>0.3953940376158796</v>
      </c>
      <c r="E43" s="7">
        <v>0</v>
      </c>
      <c r="F43" s="17">
        <f t="shared" si="1"/>
        <v>655.98364316387313</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3524.9121069400198</v>
      </c>
      <c r="C47" s="7">
        <v>0</v>
      </c>
      <c r="D47" s="7">
        <v>0</v>
      </c>
      <c r="E47" s="7">
        <v>0</v>
      </c>
      <c r="F47" s="17">
        <f t="shared" si="1"/>
        <v>3524.9121069400198</v>
      </c>
      <c r="K47" s="10"/>
      <c r="L47" s="7"/>
      <c r="M47" s="7"/>
      <c r="N47" s="7"/>
      <c r="O47" s="7"/>
      <c r="P47" s="7"/>
      <c r="Q47" s="7"/>
      <c r="R47" s="7"/>
      <c r="S47" s="7"/>
      <c r="T47" s="7"/>
      <c r="U47" s="17"/>
    </row>
    <row r="48" spans="1:21">
      <c r="A48" t="s">
        <v>42</v>
      </c>
      <c r="B48" s="10">
        <v>98.997531514060114</v>
      </c>
      <c r="C48" s="7">
        <v>0</v>
      </c>
      <c r="D48" s="7">
        <v>0</v>
      </c>
      <c r="E48" s="7">
        <v>0</v>
      </c>
      <c r="F48" s="17">
        <f t="shared" si="1"/>
        <v>98.997531514060114</v>
      </c>
      <c r="K48" s="10"/>
      <c r="L48" s="7"/>
      <c r="M48" s="7"/>
      <c r="N48" s="7"/>
      <c r="O48" s="7"/>
      <c r="P48" s="7"/>
      <c r="Q48" s="7"/>
      <c r="R48" s="7"/>
      <c r="S48" s="7"/>
      <c r="T48" s="7"/>
      <c r="U48" s="17"/>
    </row>
    <row r="49" spans="1:21">
      <c r="A49" t="s">
        <v>43</v>
      </c>
      <c r="B49" s="10">
        <v>13669.924080267992</v>
      </c>
      <c r="C49" s="7">
        <v>0.26729266187169243</v>
      </c>
      <c r="D49" s="7">
        <v>3.4676768000154232</v>
      </c>
      <c r="E49" s="7">
        <v>0</v>
      </c>
      <c r="F49" s="17">
        <f t="shared" si="1"/>
        <v>13673.65904972988</v>
      </c>
      <c r="K49" s="10"/>
      <c r="L49" s="7"/>
      <c r="M49" s="7"/>
      <c r="N49" s="7"/>
      <c r="O49" s="7"/>
      <c r="P49" s="7"/>
      <c r="Q49" s="7"/>
      <c r="R49" s="7"/>
      <c r="S49" s="7"/>
      <c r="T49" s="7"/>
      <c r="U49" s="17"/>
    </row>
    <row r="50" spans="1:21">
      <c r="A50" t="s">
        <v>44</v>
      </c>
      <c r="B50" s="10">
        <v>129826.95457247672</v>
      </c>
      <c r="C50" s="7">
        <v>289.66779200853807</v>
      </c>
      <c r="D50" s="7">
        <v>152.12940722826477</v>
      </c>
      <c r="E50" s="7">
        <v>0</v>
      </c>
      <c r="F50" s="17">
        <f t="shared" si="1"/>
        <v>130268.75177171352</v>
      </c>
      <c r="K50" s="10"/>
      <c r="L50" s="7"/>
      <c r="M50" s="7"/>
      <c r="N50" s="7"/>
      <c r="O50" s="7"/>
      <c r="P50" s="7"/>
      <c r="Q50" s="7"/>
      <c r="R50" s="7"/>
      <c r="S50" s="7"/>
      <c r="T50" s="7"/>
      <c r="U50" s="17"/>
    </row>
    <row r="51" spans="1:21">
      <c r="A51" t="s">
        <v>45</v>
      </c>
      <c r="B51" s="10">
        <v>556.98611164981298</v>
      </c>
      <c r="C51" s="7">
        <v>0</v>
      </c>
      <c r="D51" s="7">
        <v>0</v>
      </c>
      <c r="E51" s="7">
        <v>0</v>
      </c>
      <c r="F51" s="17">
        <f t="shared" si="1"/>
        <v>556.98611164981298</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1846.7420720544496</v>
      </c>
      <c r="C53" s="7">
        <v>4.2117747387349125</v>
      </c>
      <c r="D53" s="7">
        <v>0</v>
      </c>
      <c r="E53" s="7">
        <v>0</v>
      </c>
      <c r="F53" s="17">
        <f t="shared" si="1"/>
        <v>1850.9538467931845</v>
      </c>
      <c r="K53" s="10"/>
      <c r="L53" s="7"/>
      <c r="M53" s="7"/>
      <c r="N53" s="7"/>
      <c r="O53" s="7"/>
      <c r="P53" s="7"/>
      <c r="Q53" s="7"/>
      <c r="R53" s="7"/>
      <c r="S53" s="7"/>
      <c r="T53" s="7"/>
      <c r="U53" s="17"/>
    </row>
    <row r="54" spans="1:21">
      <c r="A54" t="s">
        <v>48</v>
      </c>
      <c r="B54" s="10">
        <v>666.98336888765766</v>
      </c>
      <c r="C54" s="7">
        <v>0</v>
      </c>
      <c r="D54" s="7">
        <v>0</v>
      </c>
      <c r="E54" s="7">
        <v>0</v>
      </c>
      <c r="F54" s="17">
        <f t="shared" si="1"/>
        <v>666.98336888765766</v>
      </c>
      <c r="K54" s="10"/>
      <c r="L54" s="7"/>
      <c r="M54" s="7"/>
      <c r="N54" s="7"/>
      <c r="O54" s="7"/>
      <c r="P54" s="7"/>
      <c r="Q54" s="7"/>
      <c r="R54" s="7"/>
      <c r="S54" s="7"/>
      <c r="T54" s="7"/>
      <c r="U54" s="17"/>
    </row>
    <row r="55" spans="1:21">
      <c r="A55" t="s">
        <v>49</v>
      </c>
      <c r="B55" s="10">
        <v>152.99618506718383</v>
      </c>
      <c r="C55" s="7">
        <v>0</v>
      </c>
      <c r="D55" s="7">
        <v>0</v>
      </c>
      <c r="E55" s="7">
        <v>0</v>
      </c>
      <c r="F55" s="17">
        <f t="shared" si="1"/>
        <v>152.99618506718383</v>
      </c>
      <c r="K55" s="10"/>
      <c r="L55" s="7"/>
      <c r="M55" s="7"/>
      <c r="N55" s="7"/>
      <c r="O55" s="7"/>
      <c r="P55" s="7"/>
      <c r="Q55" s="7"/>
      <c r="R55" s="7"/>
      <c r="S55" s="7"/>
      <c r="T55" s="7"/>
      <c r="U55" s="17"/>
    </row>
    <row r="56" spans="1:21">
      <c r="A56" t="s">
        <v>50</v>
      </c>
      <c r="B56" s="10">
        <v>186.99533730433581</v>
      </c>
      <c r="C56" s="7">
        <v>0</v>
      </c>
      <c r="D56" s="7">
        <v>0</v>
      </c>
      <c r="E56" s="7">
        <v>0</v>
      </c>
      <c r="F56" s="17">
        <f t="shared" si="1"/>
        <v>186.99533730433581</v>
      </c>
      <c r="K56" s="10"/>
      <c r="L56" s="7"/>
      <c r="M56" s="7"/>
      <c r="N56" s="7"/>
      <c r="O56" s="7"/>
      <c r="P56" s="7"/>
      <c r="Q56" s="7"/>
      <c r="R56" s="7"/>
      <c r="S56" s="7"/>
      <c r="T56" s="7"/>
      <c r="U56" s="17"/>
    </row>
    <row r="57" spans="1:21">
      <c r="A57" t="s">
        <v>51</v>
      </c>
      <c r="B57" s="10">
        <v>131.99670868541349</v>
      </c>
      <c r="C57" s="7">
        <v>0</v>
      </c>
      <c r="D57" s="7">
        <v>0</v>
      </c>
      <c r="E57" s="7">
        <v>0</v>
      </c>
      <c r="F57" s="17">
        <f t="shared" si="1"/>
        <v>131.99670868541349</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366322.2642120797</v>
      </c>
      <c r="C60" s="7">
        <f>SUM(C6:C58)</f>
        <v>1431.9032416741577</v>
      </c>
      <c r="D60" s="7">
        <f>SUM(D6:D58)</f>
        <v>405.65254624624856</v>
      </c>
      <c r="E60" s="7">
        <f>SUM(E6:E58)</f>
        <v>0</v>
      </c>
      <c r="F60" s="17">
        <f>SUM(F6:F58)</f>
        <v>368159.81999999995</v>
      </c>
      <c r="K60" s="10">
        <f>SUM(K6:K58)</f>
        <v>9571</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Italic"Mid-Continent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71279.341983915961</v>
      </c>
      <c r="D6" s="7">
        <v>0</v>
      </c>
      <c r="E6" s="7">
        <v>0</v>
      </c>
      <c r="F6" s="17">
        <f t="shared" ref="F6:F37" si="0">SUM(B6:E6)</f>
        <v>71279.341983915961</v>
      </c>
      <c r="K6" s="10">
        <v>0</v>
      </c>
      <c r="L6" s="7">
        <v>0</v>
      </c>
      <c r="M6" s="7"/>
      <c r="N6" s="7">
        <v>0</v>
      </c>
      <c r="O6" s="7">
        <v>0</v>
      </c>
      <c r="P6" s="7"/>
      <c r="Q6" s="7">
        <v>102000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40699.577283170074</v>
      </c>
      <c r="C8" s="7">
        <v>933542.85021338461</v>
      </c>
      <c r="D8" s="7">
        <v>43424.783110493125</v>
      </c>
      <c r="E8" s="7">
        <v>0</v>
      </c>
      <c r="F8" s="17">
        <f t="shared" si="0"/>
        <v>1017667.2106070478</v>
      </c>
      <c r="H8" s="4" t="s">
        <v>64</v>
      </c>
      <c r="I8" s="13"/>
      <c r="K8" s="10">
        <v>281955</v>
      </c>
      <c r="L8" s="7">
        <v>0</v>
      </c>
      <c r="M8" s="7"/>
      <c r="N8" s="7">
        <v>921320</v>
      </c>
      <c r="O8" s="7">
        <v>0</v>
      </c>
      <c r="P8" s="7"/>
      <c r="Q8" s="7">
        <v>0</v>
      </c>
      <c r="R8" s="7">
        <v>0</v>
      </c>
      <c r="S8" s="7"/>
      <c r="T8" s="7">
        <v>0</v>
      </c>
      <c r="U8" s="17">
        <v>0</v>
      </c>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395910.69160759565</v>
      </c>
      <c r="C10" s="7">
        <v>329572.2139869926</v>
      </c>
      <c r="D10" s="7">
        <v>0</v>
      </c>
      <c r="E10" s="7">
        <v>0</v>
      </c>
      <c r="F10" s="17">
        <f t="shared" si="0"/>
        <v>725482.90559458826</v>
      </c>
      <c r="H10" s="4" t="s">
        <v>65</v>
      </c>
      <c r="I10" s="14">
        <v>68990674</v>
      </c>
      <c r="K10" s="10">
        <v>250000</v>
      </c>
      <c r="L10" s="7">
        <v>1100000</v>
      </c>
      <c r="M10" s="7"/>
      <c r="N10" s="7">
        <v>1200000</v>
      </c>
      <c r="O10" s="7">
        <v>0</v>
      </c>
      <c r="P10" s="7"/>
      <c r="Q10" s="7">
        <v>74000</v>
      </c>
      <c r="R10" s="7">
        <v>0</v>
      </c>
      <c r="S10" s="7"/>
      <c r="T10" s="7">
        <v>0</v>
      </c>
      <c r="U10" s="17">
        <v>0</v>
      </c>
    </row>
    <row r="11" spans="1:21">
      <c r="A11" t="s">
        <v>5</v>
      </c>
      <c r="B11" s="10">
        <v>0</v>
      </c>
      <c r="C11" s="7">
        <v>773466.13382993825</v>
      </c>
      <c r="D11" s="7">
        <v>0</v>
      </c>
      <c r="E11" s="7">
        <v>0</v>
      </c>
      <c r="F11" s="17">
        <f t="shared" si="0"/>
        <v>773466.13382993825</v>
      </c>
      <c r="H11" s="4"/>
      <c r="I11" s="14"/>
      <c r="K11" s="10">
        <v>0</v>
      </c>
      <c r="L11" s="7">
        <v>0</v>
      </c>
      <c r="M11" s="7"/>
      <c r="N11" s="7">
        <v>9207039</v>
      </c>
      <c r="O11" s="7">
        <v>860000</v>
      </c>
      <c r="P11" s="7"/>
      <c r="Q11" s="7">
        <v>0</v>
      </c>
      <c r="R11" s="7">
        <v>215835</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48880235</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2934120.9999999995</v>
      </c>
      <c r="K14" s="10"/>
      <c r="L14" s="7"/>
      <c r="M14" s="7"/>
      <c r="N14" s="7"/>
      <c r="O14" s="7"/>
      <c r="P14" s="7"/>
      <c r="Q14" s="7"/>
      <c r="R14" s="7"/>
      <c r="S14" s="7"/>
      <c r="T14" s="7"/>
      <c r="U14" s="17"/>
    </row>
    <row r="15" spans="1:21">
      <c r="A15" t="s">
        <v>9</v>
      </c>
      <c r="B15" s="10">
        <v>2465.4867794681886</v>
      </c>
      <c r="C15" s="7">
        <v>1486218.8418138528</v>
      </c>
      <c r="D15" s="7">
        <v>0</v>
      </c>
      <c r="E15" s="7">
        <v>0</v>
      </c>
      <c r="F15" s="17">
        <f t="shared" si="0"/>
        <v>1488684.3285933209</v>
      </c>
      <c r="H15" s="4" t="s">
        <v>69</v>
      </c>
      <c r="I15" s="14">
        <v>795203.94399999978</v>
      </c>
      <c r="K15" s="10">
        <v>100000</v>
      </c>
      <c r="L15" s="7">
        <v>0</v>
      </c>
      <c r="M15" s="7"/>
      <c r="N15" s="7">
        <v>2900000</v>
      </c>
      <c r="O15" s="7">
        <v>0</v>
      </c>
      <c r="P15" s="7"/>
      <c r="Q15" s="7">
        <v>0</v>
      </c>
      <c r="R15" s="7">
        <v>0</v>
      </c>
      <c r="S15" s="7"/>
      <c r="T15" s="7">
        <v>0</v>
      </c>
      <c r="U15" s="17">
        <v>0</v>
      </c>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5116.0053910496117</v>
      </c>
      <c r="D17" s="7">
        <v>0</v>
      </c>
      <c r="E17" s="7">
        <v>0</v>
      </c>
      <c r="F17" s="17">
        <f t="shared" si="0"/>
        <v>5116.0053910496117</v>
      </c>
      <c r="H17" s="4"/>
      <c r="I17" s="14"/>
      <c r="K17" s="10">
        <v>7301</v>
      </c>
      <c r="L17" s="7">
        <v>0</v>
      </c>
      <c r="M17" s="7"/>
      <c r="N17" s="7">
        <v>0</v>
      </c>
      <c r="O17" s="7">
        <v>0</v>
      </c>
      <c r="P17" s="7"/>
      <c r="Q17" s="7">
        <v>0</v>
      </c>
      <c r="R17" s="7">
        <v>0</v>
      </c>
      <c r="S17" s="7"/>
      <c r="T17" s="7">
        <v>0</v>
      </c>
      <c r="U17" s="17">
        <v>0</v>
      </c>
    </row>
    <row r="18" spans="1:21">
      <c r="A18" t="s">
        <v>12</v>
      </c>
      <c r="B18" s="10">
        <v>0</v>
      </c>
      <c r="C18" s="7">
        <v>116190.02839630321</v>
      </c>
      <c r="D18" s="7">
        <v>0</v>
      </c>
      <c r="E18" s="7">
        <v>0</v>
      </c>
      <c r="F18" s="17">
        <f t="shared" si="0"/>
        <v>116190.02839630321</v>
      </c>
      <c r="H18" s="4" t="s">
        <v>71</v>
      </c>
      <c r="I18" s="14"/>
      <c r="K18" s="10">
        <v>0</v>
      </c>
      <c r="L18" s="7">
        <v>0</v>
      </c>
      <c r="M18" s="7"/>
      <c r="N18" s="7">
        <v>113900</v>
      </c>
      <c r="O18" s="7">
        <v>0</v>
      </c>
      <c r="P18" s="7"/>
      <c r="Q18" s="7">
        <v>56100</v>
      </c>
      <c r="R18" s="7">
        <v>0</v>
      </c>
      <c r="S18" s="7"/>
      <c r="T18" s="7">
        <v>0</v>
      </c>
      <c r="U18" s="17">
        <v>0</v>
      </c>
    </row>
    <row r="19" spans="1:21">
      <c r="A19" t="s">
        <v>13</v>
      </c>
      <c r="B19" s="10">
        <v>191.04436049798741</v>
      </c>
      <c r="C19" s="7">
        <v>1065108.593395134</v>
      </c>
      <c r="D19" s="7">
        <v>39378.833687143291</v>
      </c>
      <c r="E19" s="7">
        <v>0</v>
      </c>
      <c r="F19" s="17">
        <f t="shared" si="0"/>
        <v>1104678.4714427753</v>
      </c>
      <c r="H19" s="4" t="s">
        <v>72</v>
      </c>
      <c r="I19" s="14">
        <v>0</v>
      </c>
      <c r="K19" s="10">
        <v>0</v>
      </c>
      <c r="L19" s="7">
        <v>0</v>
      </c>
      <c r="M19" s="7"/>
      <c r="N19" s="7">
        <v>1700000</v>
      </c>
      <c r="O19" s="7">
        <v>750000</v>
      </c>
      <c r="P19" s="7"/>
      <c r="Q19" s="7">
        <v>70000</v>
      </c>
      <c r="R19" s="7">
        <v>51000</v>
      </c>
      <c r="S19" s="7"/>
      <c r="T19" s="7">
        <v>0</v>
      </c>
      <c r="U19" s="17">
        <v>0</v>
      </c>
    </row>
    <row r="20" spans="1:21">
      <c r="A20" t="s">
        <v>14</v>
      </c>
      <c r="B20" s="10">
        <v>404.65585914835708</v>
      </c>
      <c r="C20" s="7">
        <v>169102.89786370576</v>
      </c>
      <c r="D20" s="7">
        <v>0</v>
      </c>
      <c r="E20" s="7">
        <v>0</v>
      </c>
      <c r="F20" s="17">
        <f t="shared" si="0"/>
        <v>169507.55372285412</v>
      </c>
      <c r="H20" s="4" t="s">
        <v>73</v>
      </c>
      <c r="I20" s="14">
        <v>46699950.450000003</v>
      </c>
      <c r="K20" s="10">
        <v>0</v>
      </c>
      <c r="L20" s="7">
        <v>0</v>
      </c>
      <c r="M20" s="7"/>
      <c r="N20" s="7">
        <v>0</v>
      </c>
      <c r="O20" s="7">
        <v>0</v>
      </c>
      <c r="P20" s="7"/>
      <c r="Q20" s="7">
        <v>69378</v>
      </c>
      <c r="R20" s="7">
        <v>0</v>
      </c>
      <c r="S20" s="7"/>
      <c r="T20" s="7">
        <v>0</v>
      </c>
      <c r="U20" s="17">
        <v>0</v>
      </c>
    </row>
    <row r="21" spans="1:21">
      <c r="A21" t="s">
        <v>15</v>
      </c>
      <c r="B21" s="10">
        <v>59251.439144390155</v>
      </c>
      <c r="C21" s="7">
        <v>2090210.1670430773</v>
      </c>
      <c r="D21" s="7">
        <v>0</v>
      </c>
      <c r="E21" s="7">
        <v>0</v>
      </c>
      <c r="F21" s="17">
        <f t="shared" si="0"/>
        <v>2149461.6061874675</v>
      </c>
      <c r="H21" s="4" t="s">
        <v>74</v>
      </c>
      <c r="I21" s="14"/>
      <c r="K21" s="10">
        <v>0</v>
      </c>
      <c r="L21" s="7">
        <v>0</v>
      </c>
      <c r="M21" s="7"/>
      <c r="N21" s="7">
        <v>6136927</v>
      </c>
      <c r="O21" s="7">
        <v>0</v>
      </c>
      <c r="P21" s="7"/>
      <c r="Q21" s="7">
        <v>16840</v>
      </c>
      <c r="R21" s="7">
        <v>0</v>
      </c>
      <c r="S21" s="7"/>
      <c r="T21" s="7">
        <v>0</v>
      </c>
      <c r="U21" s="17">
        <v>0</v>
      </c>
    </row>
    <row r="22" spans="1:21">
      <c r="A22" t="s">
        <v>16</v>
      </c>
      <c r="B22" s="10">
        <v>0</v>
      </c>
      <c r="C22" s="7">
        <v>1155040.1234620111</v>
      </c>
      <c r="D22" s="7">
        <v>0</v>
      </c>
      <c r="E22" s="7">
        <v>0</v>
      </c>
      <c r="F22" s="17">
        <f t="shared" si="0"/>
        <v>1155040.1234620111</v>
      </c>
      <c r="H22" s="4" t="s">
        <v>75</v>
      </c>
      <c r="I22" s="14">
        <v>301656</v>
      </c>
      <c r="K22" s="10">
        <v>0</v>
      </c>
      <c r="L22" s="7">
        <v>0</v>
      </c>
      <c r="M22" s="7"/>
      <c r="N22" s="7">
        <v>1700000</v>
      </c>
      <c r="O22" s="7">
        <v>0</v>
      </c>
      <c r="P22" s="7"/>
      <c r="Q22" s="7">
        <v>0</v>
      </c>
      <c r="R22" s="7">
        <v>0</v>
      </c>
      <c r="S22" s="7"/>
      <c r="T22" s="7">
        <v>0</v>
      </c>
      <c r="U22" s="17">
        <v>0</v>
      </c>
    </row>
    <row r="23" spans="1:21">
      <c r="A23" t="s">
        <v>17</v>
      </c>
      <c r="B23" s="10">
        <v>0</v>
      </c>
      <c r="C23" s="7">
        <v>41994.057575555402</v>
      </c>
      <c r="D23" s="7">
        <v>0</v>
      </c>
      <c r="E23" s="7">
        <v>0</v>
      </c>
      <c r="F23" s="17">
        <f t="shared" si="0"/>
        <v>41994.057575555402</v>
      </c>
      <c r="H23" s="4" t="s">
        <v>76</v>
      </c>
      <c r="I23" s="14"/>
      <c r="K23" s="10">
        <v>0</v>
      </c>
      <c r="L23" s="7">
        <v>0</v>
      </c>
      <c r="M23" s="7"/>
      <c r="N23" s="7">
        <v>48000</v>
      </c>
      <c r="O23" s="7">
        <v>11348</v>
      </c>
      <c r="P23" s="7"/>
      <c r="Q23" s="7">
        <v>32000</v>
      </c>
      <c r="R23" s="7">
        <v>17073</v>
      </c>
      <c r="S23" s="7"/>
      <c r="T23" s="7">
        <v>0</v>
      </c>
      <c r="U23" s="17">
        <v>0</v>
      </c>
    </row>
    <row r="24" spans="1:21">
      <c r="A24" t="s">
        <v>18</v>
      </c>
      <c r="B24" s="10">
        <v>0</v>
      </c>
      <c r="C24" s="7">
        <v>0</v>
      </c>
      <c r="D24" s="7">
        <v>0</v>
      </c>
      <c r="E24" s="7">
        <v>0</v>
      </c>
      <c r="F24" s="17">
        <f t="shared" si="0"/>
        <v>0</v>
      </c>
      <c r="H24" s="4" t="s">
        <v>77</v>
      </c>
      <c r="I24" s="14">
        <v>41563304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33035323.494000003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33035323.493999995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352930.1635536183</v>
      </c>
      <c r="C29" s="7">
        <v>14903942.631026756</v>
      </c>
      <c r="D29" s="7">
        <v>0</v>
      </c>
      <c r="E29" s="7">
        <v>0</v>
      </c>
      <c r="F29" s="17">
        <f t="shared" si="0"/>
        <v>15256872.794580374</v>
      </c>
      <c r="K29" s="10">
        <v>1500000</v>
      </c>
      <c r="L29" s="7">
        <v>120000</v>
      </c>
      <c r="M29" s="7"/>
      <c r="N29" s="7">
        <v>35000000</v>
      </c>
      <c r="O29" s="7">
        <v>8480000</v>
      </c>
      <c r="P29" s="7"/>
      <c r="Q29" s="7">
        <v>7000</v>
      </c>
      <c r="R29" s="7">
        <v>0</v>
      </c>
      <c r="S29" s="7"/>
      <c r="T29" s="7">
        <v>0</v>
      </c>
      <c r="U29" s="17">
        <v>0</v>
      </c>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893.2809447218076</v>
      </c>
      <c r="C31" s="7">
        <v>116825.19873702037</v>
      </c>
      <c r="D31" s="7">
        <v>0</v>
      </c>
      <c r="E31" s="7">
        <v>0</v>
      </c>
      <c r="F31" s="17">
        <f t="shared" si="0"/>
        <v>117718.47968174217</v>
      </c>
      <c r="K31" s="10">
        <v>40000</v>
      </c>
      <c r="L31" s="7">
        <v>0</v>
      </c>
      <c r="M31" s="7"/>
      <c r="N31" s="7">
        <v>60000</v>
      </c>
      <c r="O31" s="7">
        <v>0</v>
      </c>
      <c r="P31" s="7"/>
      <c r="Q31" s="7">
        <v>100000</v>
      </c>
      <c r="R31" s="7">
        <v>0</v>
      </c>
      <c r="S31" s="7"/>
      <c r="T31" s="7">
        <v>0</v>
      </c>
      <c r="U31" s="17">
        <v>0</v>
      </c>
    </row>
    <row r="32" spans="1:21">
      <c r="A32" t="s">
        <v>26</v>
      </c>
      <c r="B32" s="10">
        <v>7741.5653750876736</v>
      </c>
      <c r="C32" s="7">
        <v>1594280.9958949655</v>
      </c>
      <c r="D32" s="7">
        <v>0</v>
      </c>
      <c r="E32" s="7">
        <v>0</v>
      </c>
      <c r="F32" s="17">
        <f t="shared" si="0"/>
        <v>1602022.5612700533</v>
      </c>
      <c r="K32" s="10">
        <v>0</v>
      </c>
      <c r="L32" s="7">
        <v>0</v>
      </c>
      <c r="M32" s="7"/>
      <c r="N32" s="7">
        <v>3803133</v>
      </c>
      <c r="O32" s="7">
        <v>0</v>
      </c>
      <c r="P32" s="7"/>
      <c r="Q32" s="7">
        <v>0</v>
      </c>
      <c r="R32" s="7">
        <v>0</v>
      </c>
      <c r="S32" s="7"/>
      <c r="T32" s="7">
        <v>0</v>
      </c>
      <c r="U32" s="17">
        <v>0</v>
      </c>
    </row>
    <row r="33" spans="1:21">
      <c r="A33" t="s">
        <v>27</v>
      </c>
      <c r="B33" s="10">
        <v>0</v>
      </c>
      <c r="C33" s="7">
        <v>1569002.9128422085</v>
      </c>
      <c r="D33" s="7">
        <v>0</v>
      </c>
      <c r="E33" s="7">
        <v>0</v>
      </c>
      <c r="F33" s="17">
        <f t="shared" si="0"/>
        <v>1569002.9128422085</v>
      </c>
      <c r="K33" s="10">
        <v>0</v>
      </c>
      <c r="L33" s="7">
        <v>0</v>
      </c>
      <c r="M33" s="7"/>
      <c r="N33" s="7">
        <v>1746686</v>
      </c>
      <c r="O33" s="7">
        <v>0</v>
      </c>
      <c r="P33" s="7"/>
      <c r="Q33" s="7">
        <v>500000</v>
      </c>
      <c r="R33" s="7">
        <v>400000</v>
      </c>
      <c r="S33" s="7"/>
      <c r="T33" s="7">
        <v>0</v>
      </c>
      <c r="U33" s="17">
        <v>0</v>
      </c>
    </row>
    <row r="34" spans="1:21">
      <c r="A34" t="s">
        <v>28</v>
      </c>
      <c r="B34" s="10">
        <v>0</v>
      </c>
      <c r="C34" s="7">
        <v>115372.99301067152</v>
      </c>
      <c r="D34" s="7">
        <v>0</v>
      </c>
      <c r="E34" s="7">
        <v>0</v>
      </c>
      <c r="F34" s="17">
        <f t="shared" si="0"/>
        <v>115372.99301067152</v>
      </c>
      <c r="K34" s="10">
        <v>0</v>
      </c>
      <c r="L34" s="7">
        <v>0</v>
      </c>
      <c r="M34" s="7"/>
      <c r="N34" s="7">
        <v>154836</v>
      </c>
      <c r="O34" s="7">
        <v>14630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117711.26920421794</v>
      </c>
      <c r="D37" s="7">
        <v>0</v>
      </c>
      <c r="E37" s="7">
        <v>0</v>
      </c>
      <c r="F37" s="17">
        <f t="shared" si="0"/>
        <v>117711.26920421794</v>
      </c>
      <c r="K37" s="10">
        <v>0</v>
      </c>
      <c r="L37" s="7">
        <v>0</v>
      </c>
      <c r="M37" s="7"/>
      <c r="N37" s="7">
        <v>100532</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16556.970514921763</v>
      </c>
      <c r="C40" s="7">
        <v>912444.58623949299</v>
      </c>
      <c r="D40" s="7">
        <v>0</v>
      </c>
      <c r="E40" s="7">
        <v>0</v>
      </c>
      <c r="F40" s="17">
        <f t="shared" si="1"/>
        <v>929001.55675441469</v>
      </c>
      <c r="K40" s="10">
        <v>29200</v>
      </c>
      <c r="L40" s="7">
        <v>0</v>
      </c>
      <c r="M40" s="7"/>
      <c r="N40" s="7">
        <v>2132196</v>
      </c>
      <c r="O40" s="7">
        <v>0</v>
      </c>
      <c r="P40" s="7"/>
      <c r="Q40" s="7">
        <v>31540</v>
      </c>
      <c r="R40" s="7">
        <v>0</v>
      </c>
      <c r="S40" s="7"/>
      <c r="T40" s="7">
        <v>0</v>
      </c>
      <c r="U40" s="17">
        <v>0</v>
      </c>
    </row>
    <row r="41" spans="1:21">
      <c r="A41" t="s">
        <v>35</v>
      </c>
      <c r="B41" s="10">
        <v>0</v>
      </c>
      <c r="C41" s="7">
        <v>133595.98032543159</v>
      </c>
      <c r="D41" s="7">
        <v>0</v>
      </c>
      <c r="E41" s="7">
        <v>0</v>
      </c>
      <c r="F41" s="17">
        <f t="shared" si="1"/>
        <v>133595.98032543159</v>
      </c>
      <c r="K41" s="10">
        <v>0</v>
      </c>
      <c r="L41" s="7">
        <v>0</v>
      </c>
      <c r="M41" s="7"/>
      <c r="N41" s="7">
        <v>100000</v>
      </c>
      <c r="O41" s="7">
        <v>0</v>
      </c>
      <c r="P41" s="7"/>
      <c r="Q41" s="7">
        <v>50000</v>
      </c>
      <c r="R41" s="7">
        <v>0</v>
      </c>
      <c r="S41" s="7"/>
      <c r="T41" s="7">
        <v>0</v>
      </c>
      <c r="U41" s="17">
        <v>0</v>
      </c>
    </row>
    <row r="42" spans="1:21">
      <c r="A42" t="s">
        <v>36</v>
      </c>
      <c r="B42" s="10">
        <v>6784.8680580625451</v>
      </c>
      <c r="C42" s="7">
        <v>356035.13234605512</v>
      </c>
      <c r="D42" s="7">
        <v>0</v>
      </c>
      <c r="E42" s="7">
        <v>0</v>
      </c>
      <c r="F42" s="17">
        <f t="shared" si="1"/>
        <v>362820.00040411769</v>
      </c>
      <c r="K42" s="10">
        <v>1347500</v>
      </c>
      <c r="L42" s="7">
        <v>24000</v>
      </c>
      <c r="M42" s="7"/>
      <c r="N42" s="7">
        <v>828850</v>
      </c>
      <c r="O42" s="7">
        <v>134000</v>
      </c>
      <c r="P42" s="7"/>
      <c r="Q42" s="7">
        <v>2018650</v>
      </c>
      <c r="R42" s="7">
        <v>42000</v>
      </c>
      <c r="S42" s="7"/>
      <c r="T42" s="7">
        <v>0</v>
      </c>
      <c r="U42" s="17">
        <v>0</v>
      </c>
    </row>
    <row r="43" spans="1:21">
      <c r="A43" t="s">
        <v>37</v>
      </c>
      <c r="B43" s="10">
        <v>0</v>
      </c>
      <c r="C43" s="7">
        <v>184816.01276849414</v>
      </c>
      <c r="D43" s="7">
        <v>0</v>
      </c>
      <c r="E43" s="7">
        <v>0</v>
      </c>
      <c r="F43" s="17">
        <f t="shared" si="1"/>
        <v>184816.01276849414</v>
      </c>
      <c r="K43" s="10">
        <v>0</v>
      </c>
      <c r="L43" s="7">
        <v>0</v>
      </c>
      <c r="M43" s="7"/>
      <c r="N43" s="7">
        <v>537486</v>
      </c>
      <c r="O43" s="7">
        <v>0</v>
      </c>
      <c r="P43" s="7"/>
      <c r="Q43" s="7">
        <v>0</v>
      </c>
      <c r="R43" s="7">
        <v>0</v>
      </c>
      <c r="S43" s="7"/>
      <c r="T43" s="7">
        <v>0</v>
      </c>
      <c r="U43" s="17">
        <v>0</v>
      </c>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1121389.4990351466</v>
      </c>
      <c r="D48" s="7">
        <v>0</v>
      </c>
      <c r="E48" s="7">
        <v>0</v>
      </c>
      <c r="F48" s="17">
        <f t="shared" si="1"/>
        <v>1121389.4990351466</v>
      </c>
      <c r="K48" s="10">
        <v>200000</v>
      </c>
      <c r="L48" s="7">
        <v>0</v>
      </c>
      <c r="M48" s="7"/>
      <c r="N48" s="7">
        <v>2109508</v>
      </c>
      <c r="O48" s="7">
        <v>403631</v>
      </c>
      <c r="P48" s="7"/>
      <c r="Q48" s="7">
        <v>100000</v>
      </c>
      <c r="R48" s="7">
        <v>0</v>
      </c>
      <c r="S48" s="7"/>
      <c r="T48" s="7">
        <v>0</v>
      </c>
      <c r="U48" s="17">
        <v>0</v>
      </c>
    </row>
    <row r="49" spans="1:21">
      <c r="A49" t="s">
        <v>43</v>
      </c>
      <c r="B49" s="10">
        <v>3781.6276575856564</v>
      </c>
      <c r="C49" s="7">
        <v>333570.43281502509</v>
      </c>
      <c r="D49" s="7">
        <v>0</v>
      </c>
      <c r="E49" s="7">
        <v>0</v>
      </c>
      <c r="F49" s="17">
        <f t="shared" si="1"/>
        <v>337352.06047261076</v>
      </c>
      <c r="K49" s="10">
        <v>25000</v>
      </c>
      <c r="L49" s="7">
        <v>0</v>
      </c>
      <c r="M49" s="7"/>
      <c r="N49" s="7">
        <v>275000</v>
      </c>
      <c r="O49" s="7">
        <v>0</v>
      </c>
      <c r="P49" s="7"/>
      <c r="Q49" s="7">
        <v>165000</v>
      </c>
      <c r="R49" s="7">
        <v>0</v>
      </c>
      <c r="S49" s="7"/>
      <c r="T49" s="7">
        <v>0</v>
      </c>
      <c r="U49" s="17">
        <v>0</v>
      </c>
    </row>
    <row r="50" spans="1:21">
      <c r="A50" t="s">
        <v>44</v>
      </c>
      <c r="B50" s="10">
        <v>0</v>
      </c>
      <c r="C50" s="7">
        <v>0</v>
      </c>
      <c r="D50" s="7">
        <v>0</v>
      </c>
      <c r="E50" s="7">
        <v>0</v>
      </c>
      <c r="F50" s="17">
        <f t="shared" si="1"/>
        <v>0</v>
      </c>
      <c r="K50" s="10">
        <v>7602</v>
      </c>
      <c r="L50" s="7">
        <v>0</v>
      </c>
      <c r="M50" s="7"/>
      <c r="N50" s="7">
        <v>21182</v>
      </c>
      <c r="O50" s="7">
        <v>0</v>
      </c>
      <c r="P50" s="7"/>
      <c r="Q50" s="7">
        <v>1053560</v>
      </c>
      <c r="R50" s="7">
        <v>0</v>
      </c>
      <c r="S50" s="7"/>
      <c r="T50" s="7">
        <v>0</v>
      </c>
      <c r="U50" s="17">
        <v>0</v>
      </c>
    </row>
    <row r="51" spans="1:21">
      <c r="A51" t="s">
        <v>45</v>
      </c>
      <c r="B51" s="10">
        <v>0</v>
      </c>
      <c r="C51" s="7">
        <v>117444.99869412882</v>
      </c>
      <c r="D51" s="7">
        <v>0</v>
      </c>
      <c r="E51" s="7">
        <v>0</v>
      </c>
      <c r="F51" s="17">
        <f t="shared" si="1"/>
        <v>117444.99869412882</v>
      </c>
      <c r="K51" s="10">
        <v>10000</v>
      </c>
      <c r="L51" s="7">
        <v>0</v>
      </c>
      <c r="M51" s="7"/>
      <c r="N51" s="7">
        <v>140000</v>
      </c>
      <c r="O51" s="7">
        <v>0</v>
      </c>
      <c r="P51" s="7"/>
      <c r="Q51" s="7">
        <v>89700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837182.35603058105</v>
      </c>
      <c r="D54" s="7">
        <v>0</v>
      </c>
      <c r="E54" s="7">
        <v>0</v>
      </c>
      <c r="F54" s="17">
        <f t="shared" si="1"/>
        <v>837182.35603058105</v>
      </c>
      <c r="K54" s="10">
        <v>0</v>
      </c>
      <c r="L54" s="7">
        <v>0</v>
      </c>
      <c r="M54" s="7"/>
      <c r="N54" s="7">
        <v>2000000</v>
      </c>
      <c r="O54" s="7">
        <v>0</v>
      </c>
      <c r="P54" s="7"/>
      <c r="Q54" s="7">
        <v>0</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1414452.2521389779</v>
      </c>
      <c r="D57" s="7">
        <v>0</v>
      </c>
      <c r="E57" s="7">
        <v>0</v>
      </c>
      <c r="F57" s="17">
        <f t="shared" si="1"/>
        <v>1414452.2521389779</v>
      </c>
      <c r="K57" s="10">
        <v>0</v>
      </c>
      <c r="L57" s="7">
        <v>0</v>
      </c>
      <c r="M57" s="7"/>
      <c r="N57" s="7">
        <v>2300000</v>
      </c>
      <c r="O57" s="7">
        <v>2337876</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887611.37113826815</v>
      </c>
      <c r="C60" s="7">
        <f>SUM(C6:C58)</f>
        <v>32064908.506064095</v>
      </c>
      <c r="D60" s="7">
        <f>SUM(D6:D58)</f>
        <v>82803.616797636409</v>
      </c>
      <c r="E60" s="7">
        <f>SUM(E6:E58)</f>
        <v>0</v>
      </c>
      <c r="F60" s="17">
        <f>SUM(F6:F58)</f>
        <v>33035323.493999995</v>
      </c>
      <c r="K60" s="10">
        <f>SUM(K6:K58)</f>
        <v>3798558</v>
      </c>
      <c r="L60" s="7">
        <f>SUM(L6:L58)</f>
        <v>1244000</v>
      </c>
      <c r="M60" s="7"/>
      <c r="N60" s="7">
        <f>SUM(N6:N58)</f>
        <v>75236595</v>
      </c>
      <c r="O60" s="7">
        <f>SUM(O6:O58)</f>
        <v>12991485</v>
      </c>
      <c r="P60" s="7"/>
      <c r="Q60" s="7">
        <f>SUM(Q6:Q58)</f>
        <v>4535768</v>
      </c>
      <c r="R60" s="7">
        <f>SUM(R6:R58)</f>
        <v>725908</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Italic"Midwest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718.7390593546146</v>
      </c>
      <c r="C6" s="7">
        <v>714.2862002061006</v>
      </c>
      <c r="D6" s="7">
        <v>278.88328562297767</v>
      </c>
      <c r="E6" s="7">
        <v>0</v>
      </c>
      <c r="F6" s="17">
        <f t="shared" ref="F6:F37" si="0">SUM(B6:E6)</f>
        <v>1711.9085451836929</v>
      </c>
      <c r="K6" s="10"/>
      <c r="L6" s="7"/>
      <c r="M6" s="7"/>
      <c r="N6" s="7"/>
      <c r="O6" s="7"/>
      <c r="P6" s="7"/>
      <c r="Q6" s="7"/>
      <c r="R6" s="7"/>
      <c r="S6" s="7"/>
      <c r="T6" s="7"/>
      <c r="U6" s="17"/>
    </row>
    <row r="7" spans="1:21">
      <c r="A7" t="s">
        <v>1</v>
      </c>
      <c r="B7" s="10">
        <v>615.53508419347031</v>
      </c>
      <c r="C7" s="7">
        <v>2.6710635331569264</v>
      </c>
      <c r="D7" s="7">
        <v>76.983610705077609</v>
      </c>
      <c r="E7" s="7">
        <v>0</v>
      </c>
      <c r="F7" s="17">
        <f t="shared" si="0"/>
        <v>695.18975843170483</v>
      </c>
      <c r="H7" s="22"/>
      <c r="I7" s="24"/>
      <c r="K7" s="10">
        <v>250</v>
      </c>
      <c r="L7" s="7">
        <v>490</v>
      </c>
      <c r="M7" s="7"/>
      <c r="N7" s="7">
        <v>0</v>
      </c>
      <c r="O7" s="7">
        <v>0</v>
      </c>
      <c r="P7" s="7"/>
      <c r="Q7" s="7">
        <v>0</v>
      </c>
      <c r="R7" s="7">
        <v>0</v>
      </c>
      <c r="S7" s="7"/>
      <c r="T7" s="7">
        <v>0</v>
      </c>
      <c r="U7" s="17">
        <v>0</v>
      </c>
    </row>
    <row r="8" spans="1:21">
      <c r="A8" t="s">
        <v>2</v>
      </c>
      <c r="B8" s="10">
        <v>4531.4824284370034</v>
      </c>
      <c r="C8" s="7">
        <v>2006.0163061853088</v>
      </c>
      <c r="D8" s="7">
        <v>2085.3156644299943</v>
      </c>
      <c r="E8" s="7">
        <v>0</v>
      </c>
      <c r="F8" s="17">
        <f t="shared" si="0"/>
        <v>8622.8143990523058</v>
      </c>
      <c r="H8" s="4" t="s">
        <v>64</v>
      </c>
      <c r="I8" s="13"/>
      <c r="K8" s="10"/>
      <c r="L8" s="7"/>
      <c r="M8" s="7"/>
      <c r="N8" s="7"/>
      <c r="O8" s="7"/>
      <c r="P8" s="7"/>
      <c r="Q8" s="7"/>
      <c r="R8" s="7"/>
      <c r="S8" s="7"/>
      <c r="T8" s="7"/>
      <c r="U8" s="17"/>
    </row>
    <row r="9" spans="1:21">
      <c r="A9" t="s">
        <v>3</v>
      </c>
      <c r="B9" s="10">
        <v>831.71063858062507</v>
      </c>
      <c r="C9" s="7">
        <v>315.76508575337073</v>
      </c>
      <c r="D9" s="7">
        <v>402.23595946418413</v>
      </c>
      <c r="E9" s="7">
        <v>0</v>
      </c>
      <c r="F9" s="17">
        <f t="shared" si="0"/>
        <v>1549.71168379818</v>
      </c>
      <c r="H9" s="4"/>
      <c r="I9" s="13"/>
      <c r="K9" s="10">
        <v>3367</v>
      </c>
      <c r="L9" s="7">
        <v>0</v>
      </c>
      <c r="M9" s="7"/>
      <c r="N9" s="7">
        <v>0</v>
      </c>
      <c r="O9" s="7">
        <v>0</v>
      </c>
      <c r="P9" s="7"/>
      <c r="Q9" s="7">
        <v>0</v>
      </c>
      <c r="R9" s="7">
        <v>0</v>
      </c>
      <c r="S9" s="7"/>
      <c r="T9" s="7">
        <v>0</v>
      </c>
      <c r="U9" s="17">
        <v>0</v>
      </c>
    </row>
    <row r="10" spans="1:21">
      <c r="A10" t="s">
        <v>4</v>
      </c>
      <c r="B10" s="10">
        <v>23951.124194256681</v>
      </c>
      <c r="C10" s="7">
        <v>4025.6741386990957</v>
      </c>
      <c r="D10" s="7">
        <v>23091.363150864221</v>
      </c>
      <c r="E10" s="7">
        <v>0</v>
      </c>
      <c r="F10" s="17">
        <f t="shared" si="0"/>
        <v>51068.161483819997</v>
      </c>
      <c r="H10" s="4" t="s">
        <v>65</v>
      </c>
      <c r="I10" s="14">
        <v>789601673</v>
      </c>
      <c r="K10" s="10"/>
      <c r="L10" s="7"/>
      <c r="M10" s="7"/>
      <c r="N10" s="7"/>
      <c r="O10" s="7"/>
      <c r="P10" s="7"/>
      <c r="Q10" s="7"/>
      <c r="R10" s="7"/>
      <c r="S10" s="7"/>
      <c r="T10" s="7"/>
      <c r="U10" s="17"/>
    </row>
    <row r="11" spans="1:21">
      <c r="A11" t="s">
        <v>5</v>
      </c>
      <c r="B11" s="10">
        <v>4534.9071530500541</v>
      </c>
      <c r="C11" s="7">
        <v>1093.2636311017288</v>
      </c>
      <c r="D11" s="7">
        <v>2630.3534476795235</v>
      </c>
      <c r="E11" s="7">
        <v>0</v>
      </c>
      <c r="F11" s="17">
        <f t="shared" si="0"/>
        <v>8258.5242318313067</v>
      </c>
      <c r="H11" s="4"/>
      <c r="I11" s="14"/>
      <c r="K11" s="10"/>
      <c r="L11" s="7"/>
      <c r="M11" s="7"/>
      <c r="N11" s="7"/>
      <c r="O11" s="7"/>
      <c r="P11" s="7"/>
      <c r="Q11" s="7"/>
      <c r="R11" s="7"/>
      <c r="S11" s="7"/>
      <c r="T11" s="7"/>
      <c r="U11" s="17"/>
    </row>
    <row r="12" spans="1:21">
      <c r="A12" t="s">
        <v>6</v>
      </c>
      <c r="B12" s="10">
        <v>5599.8459058843837</v>
      </c>
      <c r="C12" s="7">
        <v>1584.6552188848641</v>
      </c>
      <c r="D12" s="7">
        <v>6734.3731330663095</v>
      </c>
      <c r="E12" s="7">
        <v>0</v>
      </c>
      <c r="F12" s="17">
        <f t="shared" si="0"/>
        <v>13918.874257835556</v>
      </c>
      <c r="H12" s="4" t="s">
        <v>66</v>
      </c>
      <c r="I12" s="14"/>
      <c r="K12" s="10"/>
      <c r="L12" s="7"/>
      <c r="M12" s="7"/>
      <c r="N12" s="7"/>
      <c r="O12" s="7"/>
      <c r="P12" s="7"/>
      <c r="Q12" s="7"/>
      <c r="R12" s="7"/>
      <c r="S12" s="7"/>
      <c r="T12" s="7"/>
      <c r="U12" s="17"/>
    </row>
    <row r="13" spans="1:21">
      <c r="A13" t="s">
        <v>7</v>
      </c>
      <c r="B13" s="10">
        <v>385.01845474191396</v>
      </c>
      <c r="C13" s="7">
        <v>154.19084230150816</v>
      </c>
      <c r="D13" s="7">
        <v>338.31819798244021</v>
      </c>
      <c r="E13" s="7">
        <v>0</v>
      </c>
      <c r="F13" s="17">
        <f t="shared" si="0"/>
        <v>877.52749502586232</v>
      </c>
      <c r="H13" s="4" t="s">
        <v>67</v>
      </c>
      <c r="I13" s="14">
        <v>0</v>
      </c>
      <c r="K13" s="10"/>
      <c r="L13" s="7"/>
      <c r="M13" s="7"/>
      <c r="N13" s="7"/>
      <c r="O13" s="7"/>
      <c r="P13" s="7"/>
      <c r="Q13" s="7"/>
      <c r="R13" s="7"/>
      <c r="S13" s="7"/>
      <c r="T13" s="7"/>
      <c r="U13" s="17"/>
    </row>
    <row r="14" spans="1:21">
      <c r="A14" t="s">
        <v>8</v>
      </c>
      <c r="B14" s="10">
        <v>673.37987598730672</v>
      </c>
      <c r="C14" s="7">
        <v>147.26576618503441</v>
      </c>
      <c r="D14" s="7">
        <v>545.11210622799672</v>
      </c>
      <c r="E14" s="7">
        <v>0</v>
      </c>
      <c r="F14" s="17">
        <f t="shared" si="0"/>
        <v>1365.7577484003377</v>
      </c>
      <c r="H14" s="4" t="s">
        <v>68</v>
      </c>
      <c r="I14" s="14">
        <v>0</v>
      </c>
      <c r="K14" s="10"/>
      <c r="L14" s="7"/>
      <c r="M14" s="7"/>
      <c r="N14" s="7"/>
      <c r="O14" s="7"/>
      <c r="P14" s="7"/>
      <c r="Q14" s="7"/>
      <c r="R14" s="7"/>
      <c r="S14" s="7"/>
      <c r="T14" s="7"/>
      <c r="U14" s="17"/>
    </row>
    <row r="15" spans="1:21">
      <c r="A15" t="s">
        <v>9</v>
      </c>
      <c r="B15" s="10">
        <v>14607.708749652373</v>
      </c>
      <c r="C15" s="7">
        <v>5979.6141593491411</v>
      </c>
      <c r="D15" s="7">
        <v>9498.189787482379</v>
      </c>
      <c r="E15" s="7">
        <v>0</v>
      </c>
      <c r="F15" s="17">
        <f t="shared" si="0"/>
        <v>30085.512696483893</v>
      </c>
      <c r="H15" s="4" t="s">
        <v>69</v>
      </c>
      <c r="I15" s="14">
        <v>514785.50999999995</v>
      </c>
      <c r="K15" s="10"/>
      <c r="L15" s="7"/>
      <c r="M15" s="7"/>
      <c r="N15" s="7"/>
      <c r="O15" s="7"/>
      <c r="P15" s="7"/>
      <c r="Q15" s="7"/>
      <c r="R15" s="7"/>
      <c r="S15" s="7"/>
      <c r="T15" s="7"/>
      <c r="U15" s="17"/>
    </row>
    <row r="16" spans="1:21">
      <c r="A16" t="s">
        <v>10</v>
      </c>
      <c r="B16" s="10">
        <v>1900.8023508257941</v>
      </c>
      <c r="C16" s="7">
        <v>1781.4005300504725</v>
      </c>
      <c r="D16" s="7">
        <v>1310.9360763534503</v>
      </c>
      <c r="E16" s="7">
        <v>0</v>
      </c>
      <c r="F16" s="17">
        <f t="shared" si="0"/>
        <v>4993.1389572297167</v>
      </c>
      <c r="H16" s="4" t="s">
        <v>70</v>
      </c>
      <c r="I16" s="14">
        <v>0</v>
      </c>
      <c r="K16" s="10"/>
      <c r="L16" s="7"/>
      <c r="M16" s="7"/>
      <c r="N16" s="7"/>
      <c r="O16" s="7"/>
      <c r="P16" s="7"/>
      <c r="Q16" s="7"/>
      <c r="R16" s="7"/>
      <c r="S16" s="7"/>
      <c r="T16" s="7"/>
      <c r="U16" s="17"/>
    </row>
    <row r="17" spans="1:21">
      <c r="A17" t="s">
        <v>11</v>
      </c>
      <c r="B17" s="10">
        <v>1468.528172853757</v>
      </c>
      <c r="C17" s="7">
        <v>221.28297731094094</v>
      </c>
      <c r="D17" s="7">
        <v>233.17856560139276</v>
      </c>
      <c r="E17" s="7">
        <v>0</v>
      </c>
      <c r="F17" s="17">
        <f t="shared" si="0"/>
        <v>1922.9897157660907</v>
      </c>
      <c r="H17" s="4"/>
      <c r="I17" s="14"/>
      <c r="K17" s="10">
        <v>1521</v>
      </c>
      <c r="L17" s="7">
        <v>0</v>
      </c>
      <c r="M17" s="7"/>
      <c r="N17" s="7">
        <v>228</v>
      </c>
      <c r="O17" s="7">
        <v>0</v>
      </c>
      <c r="P17" s="7"/>
      <c r="Q17" s="7">
        <v>304</v>
      </c>
      <c r="R17" s="7">
        <v>0</v>
      </c>
      <c r="S17" s="7"/>
      <c r="T17" s="7">
        <v>0</v>
      </c>
      <c r="U17" s="17">
        <v>0</v>
      </c>
    </row>
    <row r="18" spans="1:21">
      <c r="A18" t="s">
        <v>12</v>
      </c>
      <c r="B18" s="10">
        <v>522.61441025480201</v>
      </c>
      <c r="C18" s="7">
        <v>0.55807429445504741</v>
      </c>
      <c r="D18" s="7">
        <v>129.83572382258617</v>
      </c>
      <c r="E18" s="7">
        <v>0</v>
      </c>
      <c r="F18" s="17">
        <f t="shared" si="0"/>
        <v>653.00820837184324</v>
      </c>
      <c r="H18" s="4" t="s">
        <v>71</v>
      </c>
      <c r="I18" s="14"/>
      <c r="K18" s="10"/>
      <c r="L18" s="7"/>
      <c r="M18" s="7"/>
      <c r="N18" s="7"/>
      <c r="O18" s="7"/>
      <c r="P18" s="7"/>
      <c r="Q18" s="7"/>
      <c r="R18" s="7"/>
      <c r="S18" s="7"/>
      <c r="T18" s="7"/>
      <c r="U18" s="17"/>
    </row>
    <row r="19" spans="1:21">
      <c r="A19" t="s">
        <v>13</v>
      </c>
      <c r="B19" s="10">
        <v>7384.0224643761985</v>
      </c>
      <c r="C19" s="7">
        <v>2769.5616902603874</v>
      </c>
      <c r="D19" s="7">
        <v>6120.1341373043533</v>
      </c>
      <c r="E19" s="7">
        <v>0</v>
      </c>
      <c r="F19" s="17">
        <f t="shared" si="0"/>
        <v>16273.718291940939</v>
      </c>
      <c r="H19" s="4" t="s">
        <v>72</v>
      </c>
      <c r="I19" s="14">
        <v>0</v>
      </c>
      <c r="K19" s="10"/>
      <c r="L19" s="7"/>
      <c r="M19" s="7"/>
      <c r="N19" s="7"/>
      <c r="O19" s="7"/>
      <c r="P19" s="7"/>
      <c r="Q19" s="7"/>
      <c r="R19" s="7"/>
      <c r="S19" s="7"/>
      <c r="T19" s="7"/>
      <c r="U19" s="17"/>
    </row>
    <row r="20" spans="1:21">
      <c r="A20" t="s">
        <v>14</v>
      </c>
      <c r="B20" s="10">
        <v>2360.7872645589496</v>
      </c>
      <c r="C20" s="7">
        <v>971.24225131341643</v>
      </c>
      <c r="D20" s="7">
        <v>1912.5140875379327</v>
      </c>
      <c r="E20" s="7">
        <v>0</v>
      </c>
      <c r="F20" s="17">
        <f t="shared" si="0"/>
        <v>5244.5436034102986</v>
      </c>
      <c r="H20" s="4" t="s">
        <v>73</v>
      </c>
      <c r="I20" s="14">
        <v>789601673</v>
      </c>
      <c r="K20" s="10"/>
      <c r="L20" s="7"/>
      <c r="M20" s="7"/>
      <c r="N20" s="7"/>
      <c r="O20" s="7"/>
      <c r="P20" s="7"/>
      <c r="Q20" s="7"/>
      <c r="R20" s="7"/>
      <c r="S20" s="7"/>
      <c r="T20" s="7"/>
      <c r="U20" s="17"/>
    </row>
    <row r="21" spans="1:21">
      <c r="A21" t="s">
        <v>15</v>
      </c>
      <c r="B21" s="10">
        <v>3147.7130929655082</v>
      </c>
      <c r="C21" s="7">
        <v>1004.1008312673115</v>
      </c>
      <c r="D21" s="7">
        <v>1875.8317859286879</v>
      </c>
      <c r="E21" s="7">
        <v>0</v>
      </c>
      <c r="F21" s="17">
        <f t="shared" si="0"/>
        <v>6027.6457101615078</v>
      </c>
      <c r="H21" s="4" t="s">
        <v>74</v>
      </c>
      <c r="I21" s="14"/>
      <c r="K21" s="10"/>
      <c r="L21" s="7"/>
      <c r="M21" s="7"/>
      <c r="N21" s="7"/>
      <c r="O21" s="7"/>
      <c r="P21" s="7"/>
      <c r="Q21" s="7"/>
      <c r="R21" s="7"/>
      <c r="S21" s="7"/>
      <c r="T21" s="7"/>
      <c r="U21" s="17"/>
    </row>
    <row r="22" spans="1:21">
      <c r="A22" t="s">
        <v>16</v>
      </c>
      <c r="B22" s="10">
        <v>2921.5749996839986</v>
      </c>
      <c r="C22" s="7">
        <v>972.75218129701204</v>
      </c>
      <c r="D22" s="7">
        <v>4404.4429436902547</v>
      </c>
      <c r="E22" s="7">
        <v>0</v>
      </c>
      <c r="F22" s="17">
        <f t="shared" si="0"/>
        <v>8298.7701246712659</v>
      </c>
      <c r="H22" s="4" t="s">
        <v>75</v>
      </c>
      <c r="I22" s="14">
        <v>0</v>
      </c>
      <c r="K22" s="10"/>
      <c r="L22" s="7"/>
      <c r="M22" s="7"/>
      <c r="N22" s="7"/>
      <c r="O22" s="7"/>
      <c r="P22" s="7"/>
      <c r="Q22" s="7"/>
      <c r="R22" s="7"/>
      <c r="S22" s="7"/>
      <c r="T22" s="7"/>
      <c r="U22" s="17"/>
    </row>
    <row r="23" spans="1:21">
      <c r="A23" t="s">
        <v>17</v>
      </c>
      <c r="B23" s="10">
        <v>660.47245206017942</v>
      </c>
      <c r="C23" s="7">
        <v>837.85532342319391</v>
      </c>
      <c r="D23" s="7">
        <v>1200.3473961300485</v>
      </c>
      <c r="E23" s="7">
        <v>0</v>
      </c>
      <c r="F23" s="17">
        <f t="shared" si="0"/>
        <v>2698.6751716134222</v>
      </c>
      <c r="H23" s="4" t="s">
        <v>76</v>
      </c>
      <c r="I23" s="14"/>
      <c r="K23" s="10"/>
      <c r="L23" s="7"/>
      <c r="M23" s="7"/>
      <c r="N23" s="7"/>
      <c r="O23" s="7"/>
      <c r="P23" s="7"/>
      <c r="Q23" s="7"/>
      <c r="R23" s="7"/>
      <c r="S23" s="7"/>
      <c r="T23" s="7"/>
      <c r="U23" s="17"/>
    </row>
    <row r="24" spans="1:21">
      <c r="A24" t="s">
        <v>18</v>
      </c>
      <c r="B24" s="10">
        <v>1480.6154361939405</v>
      </c>
      <c r="C24" s="7">
        <v>879.5987590836703</v>
      </c>
      <c r="D24" s="7">
        <v>853.5563786023539</v>
      </c>
      <c r="E24" s="7">
        <v>0</v>
      </c>
      <c r="F24" s="17">
        <f t="shared" si="0"/>
        <v>3213.770573879965</v>
      </c>
      <c r="H24" s="4" t="s">
        <v>77</v>
      </c>
      <c r="I24" s="14">
        <v>0</v>
      </c>
      <c r="K24" s="10"/>
      <c r="L24" s="7"/>
      <c r="M24" s="7"/>
      <c r="N24" s="7"/>
      <c r="O24" s="7"/>
      <c r="P24" s="7"/>
      <c r="Q24" s="7"/>
      <c r="R24" s="7"/>
      <c r="S24" s="7"/>
      <c r="T24" s="7"/>
      <c r="U24" s="17"/>
    </row>
    <row r="25" spans="1:21">
      <c r="A25" t="s">
        <v>19</v>
      </c>
      <c r="B25" s="10">
        <v>1139.8178497280742</v>
      </c>
      <c r="C25" s="7">
        <v>768.47286715626058</v>
      </c>
      <c r="D25" s="7">
        <v>668.3415603943763</v>
      </c>
      <c r="E25" s="7">
        <v>0</v>
      </c>
      <c r="F25" s="17">
        <f t="shared" si="0"/>
        <v>2576.6322772787112</v>
      </c>
      <c r="H25" s="4"/>
      <c r="I25" s="14"/>
      <c r="K25" s="10"/>
      <c r="L25" s="7"/>
      <c r="M25" s="7"/>
      <c r="N25" s="7"/>
      <c r="O25" s="7"/>
      <c r="P25" s="7"/>
      <c r="Q25" s="7"/>
      <c r="R25" s="7"/>
      <c r="S25" s="7"/>
      <c r="T25" s="7"/>
      <c r="U25" s="17"/>
    </row>
    <row r="26" spans="1:21">
      <c r="A26" t="s">
        <v>20</v>
      </c>
      <c r="B26" s="10">
        <v>4507.28703916619</v>
      </c>
      <c r="C26" s="7">
        <v>1281.4963534090436</v>
      </c>
      <c r="D26" s="7">
        <v>8064.3606662335051</v>
      </c>
      <c r="E26" s="7">
        <v>0</v>
      </c>
      <c r="F26" s="17">
        <f t="shared" si="0"/>
        <v>13853.144058808739</v>
      </c>
      <c r="H26" s="4" t="s">
        <v>78</v>
      </c>
      <c r="I26" s="14">
        <f>SUM(I10:I16)-SUM(I19:I24)</f>
        <v>514785.50999999046</v>
      </c>
      <c r="K26" s="10"/>
      <c r="L26" s="7"/>
      <c r="M26" s="7"/>
      <c r="N26" s="7"/>
      <c r="O26" s="7"/>
      <c r="P26" s="7"/>
      <c r="Q26" s="7"/>
      <c r="R26" s="7"/>
      <c r="S26" s="7"/>
      <c r="T26" s="7"/>
      <c r="U26" s="17"/>
    </row>
    <row r="27" spans="1:21">
      <c r="A27" t="s">
        <v>21</v>
      </c>
      <c r="B27" s="10">
        <v>9636.8529948878167</v>
      </c>
      <c r="C27" s="7">
        <v>17109.09813861642</v>
      </c>
      <c r="D27" s="7">
        <v>6840.7143202659108</v>
      </c>
      <c r="E27" s="7">
        <v>0</v>
      </c>
      <c r="F27" s="17">
        <f t="shared" si="0"/>
        <v>33586.665453770147</v>
      </c>
      <c r="H27" s="4" t="s">
        <v>79</v>
      </c>
      <c r="I27" s="14">
        <f>+F60</f>
        <v>514785.51000000013</v>
      </c>
      <c r="K27" s="10"/>
      <c r="L27" s="7"/>
      <c r="M27" s="7"/>
      <c r="N27" s="7"/>
      <c r="O27" s="7"/>
      <c r="P27" s="7"/>
      <c r="Q27" s="7"/>
      <c r="R27" s="7"/>
      <c r="S27" s="7"/>
      <c r="T27" s="7"/>
      <c r="U27" s="17"/>
    </row>
    <row r="28" spans="1:21">
      <c r="A28" t="s">
        <v>22</v>
      </c>
      <c r="B28" s="10">
        <v>10486.850997907068</v>
      </c>
      <c r="C28" s="7">
        <v>2316.2945306511401</v>
      </c>
      <c r="D28" s="7">
        <v>8661.7674632405087</v>
      </c>
      <c r="E28" s="7">
        <v>0</v>
      </c>
      <c r="F28" s="17">
        <f t="shared" si="0"/>
        <v>21464.912991798716</v>
      </c>
      <c r="H28" s="23"/>
      <c r="I28" s="25"/>
      <c r="K28" s="10"/>
      <c r="L28" s="7"/>
      <c r="M28" s="7"/>
      <c r="N28" s="7"/>
      <c r="O28" s="7"/>
      <c r="P28" s="7"/>
      <c r="Q28" s="7"/>
      <c r="R28" s="7"/>
      <c r="S28" s="7"/>
      <c r="T28" s="7"/>
      <c r="U28" s="17"/>
    </row>
    <row r="29" spans="1:21">
      <c r="A29" t="s">
        <v>23</v>
      </c>
      <c r="B29" s="10">
        <v>3786.6312293142646</v>
      </c>
      <c r="C29" s="7">
        <v>1823.5716488151106</v>
      </c>
      <c r="D29" s="7">
        <v>5264.1713892851394</v>
      </c>
      <c r="E29" s="7">
        <v>0</v>
      </c>
      <c r="F29" s="17">
        <f t="shared" si="0"/>
        <v>10874.374267414514</v>
      </c>
      <c r="K29" s="10"/>
      <c r="L29" s="7"/>
      <c r="M29" s="7"/>
      <c r="N29" s="7"/>
      <c r="O29" s="7"/>
      <c r="P29" s="7"/>
      <c r="Q29" s="7"/>
      <c r="R29" s="7"/>
      <c r="S29" s="7"/>
      <c r="T29" s="7"/>
      <c r="U29" s="17"/>
    </row>
    <row r="30" spans="1:21">
      <c r="A30" t="s">
        <v>24</v>
      </c>
      <c r="B30" s="10">
        <v>299.21257610159597</v>
      </c>
      <c r="C30" s="7">
        <v>511.78216212119145</v>
      </c>
      <c r="D30" s="7">
        <v>296.65690877184858</v>
      </c>
      <c r="E30" s="7">
        <v>0</v>
      </c>
      <c r="F30" s="17">
        <f t="shared" si="0"/>
        <v>1107.6516469946359</v>
      </c>
      <c r="K30" s="10"/>
      <c r="L30" s="7"/>
      <c r="M30" s="7"/>
      <c r="N30" s="7"/>
      <c r="O30" s="7"/>
      <c r="P30" s="7"/>
      <c r="Q30" s="7"/>
      <c r="R30" s="7"/>
      <c r="S30" s="7"/>
      <c r="T30" s="7"/>
      <c r="U30" s="17"/>
    </row>
    <row r="31" spans="1:21">
      <c r="A31" t="s">
        <v>25</v>
      </c>
      <c r="B31" s="10">
        <v>3730.978313429257</v>
      </c>
      <c r="C31" s="7">
        <v>782.36996021771347</v>
      </c>
      <c r="D31" s="7">
        <v>3177.2173595491099</v>
      </c>
      <c r="E31" s="7">
        <v>0</v>
      </c>
      <c r="F31" s="17">
        <f t="shared" si="0"/>
        <v>7690.5656331960799</v>
      </c>
      <c r="K31" s="10"/>
      <c r="L31" s="7"/>
      <c r="M31" s="7"/>
      <c r="N31" s="7"/>
      <c r="O31" s="7"/>
      <c r="P31" s="7"/>
      <c r="Q31" s="7"/>
      <c r="R31" s="7"/>
      <c r="S31" s="7"/>
      <c r="T31" s="7"/>
      <c r="U31" s="17"/>
    </row>
    <row r="32" spans="1:21">
      <c r="A32" t="s">
        <v>26</v>
      </c>
      <c r="B32" s="10">
        <v>528.63196368683487</v>
      </c>
      <c r="C32" s="7">
        <v>240.37681126153086</v>
      </c>
      <c r="D32" s="7">
        <v>257.32962186750586</v>
      </c>
      <c r="E32" s="7">
        <v>0</v>
      </c>
      <c r="F32" s="17">
        <f t="shared" si="0"/>
        <v>1026.3383968158716</v>
      </c>
      <c r="K32" s="10"/>
      <c r="L32" s="7"/>
      <c r="M32" s="7"/>
      <c r="N32" s="7"/>
      <c r="O32" s="7"/>
      <c r="P32" s="7"/>
      <c r="Q32" s="7"/>
      <c r="R32" s="7"/>
      <c r="S32" s="7"/>
      <c r="T32" s="7"/>
      <c r="U32" s="17"/>
    </row>
    <row r="33" spans="1:21">
      <c r="A33" t="s">
        <v>27</v>
      </c>
      <c r="B33" s="10">
        <v>1978.9862124375211</v>
      </c>
      <c r="C33" s="7">
        <v>584.41592271808668</v>
      </c>
      <c r="D33" s="7">
        <v>902.61345612637774</v>
      </c>
      <c r="E33" s="7">
        <v>0</v>
      </c>
      <c r="F33" s="17">
        <f t="shared" si="0"/>
        <v>3466.0155912819855</v>
      </c>
      <c r="K33" s="10"/>
      <c r="L33" s="7"/>
      <c r="M33" s="7"/>
      <c r="N33" s="7"/>
      <c r="O33" s="7"/>
      <c r="P33" s="7"/>
      <c r="Q33" s="7"/>
      <c r="R33" s="7"/>
      <c r="S33" s="7"/>
      <c r="T33" s="7"/>
      <c r="U33" s="17"/>
    </row>
    <row r="34" spans="1:21">
      <c r="A34" t="s">
        <v>28</v>
      </c>
      <c r="B34" s="10">
        <v>1609.1022631529431</v>
      </c>
      <c r="C34" s="7">
        <v>457.82954735760808</v>
      </c>
      <c r="D34" s="7">
        <v>609.5149229376317</v>
      </c>
      <c r="E34" s="7">
        <v>0</v>
      </c>
      <c r="F34" s="17">
        <f t="shared" si="0"/>
        <v>2676.4467334481828</v>
      </c>
      <c r="K34" s="10"/>
      <c r="L34" s="7"/>
      <c r="M34" s="7"/>
      <c r="N34" s="7"/>
      <c r="O34" s="7"/>
      <c r="P34" s="7"/>
      <c r="Q34" s="7"/>
      <c r="R34" s="7"/>
      <c r="S34" s="7"/>
      <c r="T34" s="7"/>
      <c r="U34" s="17"/>
    </row>
    <row r="35" spans="1:21">
      <c r="A35" t="s">
        <v>29</v>
      </c>
      <c r="B35" s="10">
        <v>1553.3189560776423</v>
      </c>
      <c r="C35" s="7">
        <v>397.73615948716457</v>
      </c>
      <c r="D35" s="7">
        <v>887.12559054334713</v>
      </c>
      <c r="E35" s="7">
        <v>0</v>
      </c>
      <c r="F35" s="17">
        <f t="shared" si="0"/>
        <v>2838.180706108154</v>
      </c>
      <c r="K35" s="10"/>
      <c r="L35" s="7"/>
      <c r="M35" s="7"/>
      <c r="N35" s="7"/>
      <c r="O35" s="7"/>
      <c r="P35" s="7"/>
      <c r="Q35" s="7"/>
      <c r="R35" s="7"/>
      <c r="S35" s="7"/>
      <c r="T35" s="7"/>
      <c r="U35" s="17"/>
    </row>
    <row r="36" spans="1:21">
      <c r="A36" t="s">
        <v>30</v>
      </c>
      <c r="B36" s="10">
        <v>6383.9168191794734</v>
      </c>
      <c r="C36" s="7">
        <v>4769.4809043875857</v>
      </c>
      <c r="D36" s="7">
        <v>23864.444694641395</v>
      </c>
      <c r="E36" s="7">
        <v>0</v>
      </c>
      <c r="F36" s="17">
        <f t="shared" si="0"/>
        <v>35017.842418208456</v>
      </c>
      <c r="K36" s="10"/>
      <c r="L36" s="7"/>
      <c r="M36" s="7"/>
      <c r="N36" s="7"/>
      <c r="O36" s="7"/>
      <c r="P36" s="7"/>
      <c r="Q36" s="7"/>
      <c r="R36" s="7"/>
      <c r="S36" s="7"/>
      <c r="T36" s="7"/>
      <c r="U36" s="17"/>
    </row>
    <row r="37" spans="1:21">
      <c r="A37" t="s">
        <v>31</v>
      </c>
      <c r="B37" s="10">
        <v>1831.6454713180681</v>
      </c>
      <c r="C37" s="7">
        <v>355.94773886603713</v>
      </c>
      <c r="D37" s="7">
        <v>331.39312186596646</v>
      </c>
      <c r="E37" s="7">
        <v>0</v>
      </c>
      <c r="F37" s="17">
        <f t="shared" si="0"/>
        <v>2518.9863320500717</v>
      </c>
      <c r="K37" s="10"/>
      <c r="L37" s="7"/>
      <c r="M37" s="7"/>
      <c r="N37" s="7"/>
      <c r="O37" s="7"/>
      <c r="P37" s="7"/>
      <c r="Q37" s="7"/>
      <c r="R37" s="7"/>
      <c r="S37" s="7"/>
      <c r="T37" s="7"/>
      <c r="U37" s="17"/>
    </row>
    <row r="38" spans="1:21">
      <c r="A38" t="s">
        <v>32</v>
      </c>
      <c r="B38" s="10">
        <v>27001.493744108771</v>
      </c>
      <c r="C38" s="7">
        <v>16204.642254971197</v>
      </c>
      <c r="D38" s="7">
        <v>39817.730548172418</v>
      </c>
      <c r="E38" s="7">
        <v>0</v>
      </c>
      <c r="F38" s="17">
        <f t="shared" ref="F38:F58" si="1">SUM(B38:E38)</f>
        <v>83023.866547252386</v>
      </c>
      <c r="K38" s="10"/>
      <c r="L38" s="7"/>
      <c r="M38" s="7"/>
      <c r="N38" s="7"/>
      <c r="O38" s="7"/>
      <c r="P38" s="7"/>
      <c r="Q38" s="7"/>
      <c r="R38" s="7"/>
      <c r="S38" s="7"/>
      <c r="T38" s="7"/>
      <c r="U38" s="17"/>
    </row>
    <row r="39" spans="1:21">
      <c r="A39" t="s">
        <v>33</v>
      </c>
      <c r="B39" s="10">
        <v>3101.7338994883567</v>
      </c>
      <c r="C39" s="7">
        <v>1428.4778667992389</v>
      </c>
      <c r="D39" s="7">
        <v>6094.7345853911838</v>
      </c>
      <c r="E39" s="7">
        <v>0</v>
      </c>
      <c r="F39" s="17">
        <f t="shared" si="1"/>
        <v>10624.94635167878</v>
      </c>
      <c r="K39" s="10"/>
      <c r="L39" s="7"/>
      <c r="M39" s="7"/>
      <c r="N39" s="7"/>
      <c r="O39" s="7"/>
      <c r="P39" s="7"/>
      <c r="Q39" s="7"/>
      <c r="R39" s="7"/>
      <c r="S39" s="7"/>
      <c r="T39" s="7"/>
      <c r="U39" s="17"/>
    </row>
    <row r="40" spans="1:21">
      <c r="A40" t="s">
        <v>34</v>
      </c>
      <c r="B40" s="10">
        <v>106.33988328769662</v>
      </c>
      <c r="C40" s="7">
        <v>594.97630521993585</v>
      </c>
      <c r="D40" s="7">
        <v>27.781147003876725</v>
      </c>
      <c r="E40" s="7">
        <v>0</v>
      </c>
      <c r="F40" s="17">
        <f t="shared" si="1"/>
        <v>729.09733551150919</v>
      </c>
      <c r="K40" s="10"/>
      <c r="L40" s="7"/>
      <c r="M40" s="7"/>
      <c r="N40" s="7"/>
      <c r="O40" s="7"/>
      <c r="P40" s="7"/>
      <c r="Q40" s="7"/>
      <c r="R40" s="7"/>
      <c r="S40" s="7"/>
      <c r="T40" s="7"/>
      <c r="U40" s="17"/>
    </row>
    <row r="41" spans="1:21">
      <c r="A41" t="s">
        <v>35</v>
      </c>
      <c r="B41" s="10">
        <v>6808.6224405109378</v>
      </c>
      <c r="C41" s="7">
        <v>1856.9563572218392</v>
      </c>
      <c r="D41" s="7">
        <v>4715.5726226287006</v>
      </c>
      <c r="E41" s="7">
        <v>0</v>
      </c>
      <c r="F41" s="17">
        <f t="shared" si="1"/>
        <v>13381.151420361477</v>
      </c>
      <c r="K41" s="10"/>
      <c r="L41" s="7"/>
      <c r="M41" s="7"/>
      <c r="N41" s="7"/>
      <c r="O41" s="7"/>
      <c r="P41" s="7"/>
      <c r="Q41" s="7"/>
      <c r="R41" s="7"/>
      <c r="S41" s="7"/>
      <c r="T41" s="7"/>
      <c r="U41" s="17"/>
    </row>
    <row r="42" spans="1:21">
      <c r="A42" t="s">
        <v>36</v>
      </c>
      <c r="B42" s="10">
        <v>1194.555419457223</v>
      </c>
      <c r="C42" s="7">
        <v>749.07326586443287</v>
      </c>
      <c r="D42" s="7">
        <v>368.31403935344753</v>
      </c>
      <c r="E42" s="7">
        <v>0</v>
      </c>
      <c r="F42" s="17">
        <f t="shared" si="1"/>
        <v>2311.9427246751034</v>
      </c>
      <c r="K42" s="10"/>
      <c r="L42" s="7"/>
      <c r="M42" s="7"/>
      <c r="N42" s="7"/>
      <c r="O42" s="7"/>
      <c r="P42" s="7"/>
      <c r="Q42" s="7"/>
      <c r="R42" s="7"/>
      <c r="S42" s="7"/>
      <c r="T42" s="7"/>
      <c r="U42" s="17"/>
    </row>
    <row r="43" spans="1:21">
      <c r="A43" t="s">
        <v>37</v>
      </c>
      <c r="B43" s="10">
        <v>2161.9863362783681</v>
      </c>
      <c r="C43" s="7">
        <v>862.8082855096103</v>
      </c>
      <c r="D43" s="7">
        <v>1575.877935910275</v>
      </c>
      <c r="E43" s="7">
        <v>0</v>
      </c>
      <c r="F43" s="17">
        <f t="shared" si="1"/>
        <v>4600.6725576982535</v>
      </c>
      <c r="K43" s="10"/>
      <c r="L43" s="7"/>
      <c r="M43" s="7"/>
      <c r="N43" s="7"/>
      <c r="O43" s="7"/>
      <c r="P43" s="7"/>
      <c r="Q43" s="7"/>
      <c r="R43" s="7"/>
      <c r="S43" s="7"/>
      <c r="T43" s="7"/>
      <c r="U43" s="17"/>
    </row>
    <row r="44" spans="1:21">
      <c r="A44" t="s">
        <v>38</v>
      </c>
      <c r="B44" s="10">
        <v>12362.997678560314</v>
      </c>
      <c r="C44" s="7">
        <v>3157.7212687764659</v>
      </c>
      <c r="D44" s="7">
        <v>8377.2219401790444</v>
      </c>
      <c r="E44" s="7">
        <v>0</v>
      </c>
      <c r="F44" s="17">
        <f t="shared" si="1"/>
        <v>23897.940887515826</v>
      </c>
      <c r="K44" s="10"/>
      <c r="L44" s="7"/>
      <c r="M44" s="7"/>
      <c r="N44" s="7"/>
      <c r="O44" s="7"/>
      <c r="P44" s="7"/>
      <c r="Q44" s="7"/>
      <c r="R44" s="7"/>
      <c r="S44" s="7"/>
      <c r="T44" s="7"/>
      <c r="U44" s="17"/>
    </row>
    <row r="45" spans="1:21">
      <c r="A45" t="s">
        <v>39</v>
      </c>
      <c r="B45" s="10">
        <v>463.03867540982276</v>
      </c>
      <c r="C45" s="7">
        <v>14.377584597683597</v>
      </c>
      <c r="D45" s="7">
        <v>14.14874805871897</v>
      </c>
      <c r="E45" s="7">
        <v>0</v>
      </c>
      <c r="F45" s="17">
        <f t="shared" si="1"/>
        <v>491.56500806622535</v>
      </c>
      <c r="K45" s="10"/>
      <c r="L45" s="7"/>
      <c r="M45" s="7"/>
      <c r="N45" s="7"/>
      <c r="O45" s="7"/>
      <c r="P45" s="7"/>
      <c r="Q45" s="7"/>
      <c r="R45" s="7"/>
      <c r="S45" s="7"/>
      <c r="T45" s="7"/>
      <c r="U45" s="17"/>
    </row>
    <row r="46" spans="1:21">
      <c r="A46" t="s">
        <v>40</v>
      </c>
      <c r="B46" s="10">
        <v>747.73871203178169</v>
      </c>
      <c r="C46" s="7">
        <v>473.26590842047267</v>
      </c>
      <c r="D46" s="7">
        <v>1410.5718965922204</v>
      </c>
      <c r="E46" s="7">
        <v>0</v>
      </c>
      <c r="F46" s="17">
        <f t="shared" si="1"/>
        <v>2631.5765170444747</v>
      </c>
      <c r="K46" s="10"/>
      <c r="L46" s="7"/>
      <c r="M46" s="7"/>
      <c r="N46" s="7"/>
      <c r="O46" s="7"/>
      <c r="P46" s="7"/>
      <c r="Q46" s="7"/>
      <c r="R46" s="7"/>
      <c r="S46" s="7"/>
      <c r="T46" s="7"/>
      <c r="U46" s="17"/>
    </row>
    <row r="47" spans="1:21">
      <c r="A47" t="s">
        <v>41</v>
      </c>
      <c r="B47" s="10">
        <v>1324.1942525824663</v>
      </c>
      <c r="C47" s="7">
        <v>954.29791613481029</v>
      </c>
      <c r="D47" s="7">
        <v>4141.7790182278532</v>
      </c>
      <c r="E47" s="7">
        <v>0</v>
      </c>
      <c r="F47" s="17">
        <f t="shared" si="1"/>
        <v>6420.2711869451296</v>
      </c>
      <c r="K47" s="10"/>
      <c r="L47" s="7"/>
      <c r="M47" s="7"/>
      <c r="N47" s="7"/>
      <c r="O47" s="7"/>
      <c r="P47" s="7"/>
      <c r="Q47" s="7"/>
      <c r="R47" s="7"/>
      <c r="S47" s="7"/>
      <c r="T47" s="7"/>
      <c r="U47" s="17"/>
    </row>
    <row r="48" spans="1:21">
      <c r="A48" t="s">
        <v>42</v>
      </c>
      <c r="B48" s="10">
        <v>850.48631802689965</v>
      </c>
      <c r="C48" s="7">
        <v>362.31213286424992</v>
      </c>
      <c r="D48" s="7">
        <v>377.98124220178801</v>
      </c>
      <c r="E48" s="7">
        <v>0</v>
      </c>
      <c r="F48" s="17">
        <f t="shared" si="1"/>
        <v>1590.7796930929376</v>
      </c>
      <c r="K48" s="10"/>
      <c r="L48" s="7"/>
      <c r="M48" s="7"/>
      <c r="N48" s="7"/>
      <c r="O48" s="7"/>
      <c r="P48" s="7"/>
      <c r="Q48" s="7"/>
      <c r="R48" s="7"/>
      <c r="S48" s="7"/>
      <c r="T48" s="7"/>
      <c r="U48" s="17"/>
    </row>
    <row r="49" spans="1:21">
      <c r="A49" t="s">
        <v>43</v>
      </c>
      <c r="B49" s="10">
        <v>1235.0255851444861</v>
      </c>
      <c r="C49" s="7">
        <v>1076.0930672079644</v>
      </c>
      <c r="D49" s="7">
        <v>1159.6281832693255</v>
      </c>
      <c r="E49" s="7">
        <v>0</v>
      </c>
      <c r="F49" s="17">
        <f t="shared" si="1"/>
        <v>3470.746835621776</v>
      </c>
      <c r="K49" s="10"/>
      <c r="L49" s="7"/>
      <c r="M49" s="7"/>
      <c r="N49" s="7"/>
      <c r="O49" s="7"/>
      <c r="P49" s="7"/>
      <c r="Q49" s="7"/>
      <c r="R49" s="7"/>
      <c r="S49" s="7"/>
      <c r="T49" s="7"/>
      <c r="U49" s="17"/>
    </row>
    <row r="50" spans="1:21">
      <c r="A50" t="s">
        <v>44</v>
      </c>
      <c r="B50" s="10">
        <v>11292.739617117972</v>
      </c>
      <c r="C50" s="7">
        <v>2385.770216619133</v>
      </c>
      <c r="D50" s="7">
        <v>3577.5743819611689</v>
      </c>
      <c r="E50" s="7">
        <v>0</v>
      </c>
      <c r="F50" s="17">
        <f t="shared" si="1"/>
        <v>17256.084215698276</v>
      </c>
      <c r="K50" s="10"/>
      <c r="L50" s="7"/>
      <c r="M50" s="7"/>
      <c r="N50" s="7"/>
      <c r="O50" s="7"/>
      <c r="P50" s="7"/>
      <c r="Q50" s="7"/>
      <c r="R50" s="7"/>
      <c r="S50" s="7"/>
      <c r="T50" s="7"/>
      <c r="U50" s="17"/>
    </row>
    <row r="51" spans="1:21">
      <c r="A51" t="s">
        <v>45</v>
      </c>
      <c r="B51" s="10">
        <v>1446.2893033932949</v>
      </c>
      <c r="C51" s="7">
        <v>518.11787005753979</v>
      </c>
      <c r="D51" s="7">
        <v>193.85062674109864</v>
      </c>
      <c r="E51" s="7">
        <v>0</v>
      </c>
      <c r="F51" s="17">
        <f t="shared" si="1"/>
        <v>2158.2578001919333</v>
      </c>
      <c r="K51" s="10"/>
      <c r="L51" s="7"/>
      <c r="M51" s="7"/>
      <c r="N51" s="7"/>
      <c r="O51" s="7"/>
      <c r="P51" s="7"/>
      <c r="Q51" s="7"/>
      <c r="R51" s="7"/>
      <c r="S51" s="7"/>
      <c r="T51" s="7"/>
      <c r="U51" s="17"/>
    </row>
    <row r="52" spans="1:21">
      <c r="A52" t="s">
        <v>46</v>
      </c>
      <c r="B52" s="10">
        <v>568.3334733073192</v>
      </c>
      <c r="C52" s="7">
        <v>108.28923158258051</v>
      </c>
      <c r="D52" s="7">
        <v>539.66045056183668</v>
      </c>
      <c r="E52" s="7">
        <v>0</v>
      </c>
      <c r="F52" s="17">
        <f t="shared" si="1"/>
        <v>1216.2831554517365</v>
      </c>
      <c r="K52" s="10"/>
      <c r="L52" s="7"/>
      <c r="M52" s="7"/>
      <c r="N52" s="7"/>
      <c r="O52" s="7"/>
      <c r="P52" s="7"/>
      <c r="Q52" s="7"/>
      <c r="R52" s="7"/>
      <c r="S52" s="7"/>
      <c r="T52" s="7"/>
      <c r="U52" s="17"/>
    </row>
    <row r="53" spans="1:21">
      <c r="A53" t="s">
        <v>47</v>
      </c>
      <c r="B53" s="10">
        <v>2565.4812226848339</v>
      </c>
      <c r="C53" s="7">
        <v>1199.2605855589543</v>
      </c>
      <c r="D53" s="7">
        <v>1997.4835066925198</v>
      </c>
      <c r="E53" s="7">
        <v>0</v>
      </c>
      <c r="F53" s="17">
        <f t="shared" si="1"/>
        <v>5762.2253149363078</v>
      </c>
      <c r="K53" s="10"/>
      <c r="L53" s="7"/>
      <c r="M53" s="7"/>
      <c r="N53" s="7"/>
      <c r="O53" s="7"/>
      <c r="P53" s="7"/>
      <c r="Q53" s="7"/>
      <c r="R53" s="7"/>
      <c r="S53" s="7"/>
      <c r="T53" s="7"/>
      <c r="U53" s="17"/>
    </row>
    <row r="54" spans="1:21">
      <c r="A54" t="s">
        <v>48</v>
      </c>
      <c r="B54" s="10">
        <v>7392.5311414987837</v>
      </c>
      <c r="C54" s="7">
        <v>1668.4133038816269</v>
      </c>
      <c r="D54" s="7">
        <v>4972.6681923096303</v>
      </c>
      <c r="E54" s="7">
        <v>0</v>
      </c>
      <c r="F54" s="17">
        <f t="shared" si="1"/>
        <v>14033.612637690039</v>
      </c>
      <c r="K54" s="10"/>
      <c r="L54" s="7"/>
      <c r="M54" s="7"/>
      <c r="N54" s="7"/>
      <c r="O54" s="7"/>
      <c r="P54" s="7"/>
      <c r="Q54" s="7"/>
      <c r="R54" s="7"/>
      <c r="S54" s="7"/>
      <c r="T54" s="7"/>
      <c r="U54" s="17"/>
    </row>
    <row r="55" spans="1:21">
      <c r="A55" t="s">
        <v>49</v>
      </c>
      <c r="B55" s="10">
        <v>604.42705869238955</v>
      </c>
      <c r="C55" s="7">
        <v>327.36924973351722</v>
      </c>
      <c r="D55" s="7">
        <v>768.71343890235141</v>
      </c>
      <c r="E55" s="7">
        <v>0</v>
      </c>
      <c r="F55" s="17">
        <f t="shared" si="1"/>
        <v>1700.5097473282581</v>
      </c>
      <c r="K55" s="10"/>
      <c r="L55" s="7"/>
      <c r="M55" s="7"/>
      <c r="N55" s="7"/>
      <c r="O55" s="7"/>
      <c r="P55" s="7"/>
      <c r="Q55" s="7"/>
      <c r="R55" s="7"/>
      <c r="S55" s="7"/>
      <c r="T55" s="7"/>
      <c r="U55" s="17"/>
    </row>
    <row r="56" spans="1:21">
      <c r="A56" t="s">
        <v>50</v>
      </c>
      <c r="B56" s="10">
        <v>5393.346029772938</v>
      </c>
      <c r="C56" s="7">
        <v>3038.9094681372212</v>
      </c>
      <c r="D56" s="7">
        <v>4498.1876899515764</v>
      </c>
      <c r="E56" s="7">
        <v>0</v>
      </c>
      <c r="F56" s="17">
        <f t="shared" si="1"/>
        <v>12930.443187861736</v>
      </c>
      <c r="K56" s="10"/>
      <c r="L56" s="7"/>
      <c r="M56" s="7"/>
      <c r="N56" s="7"/>
      <c r="O56" s="7"/>
      <c r="P56" s="7"/>
      <c r="Q56" s="7"/>
      <c r="R56" s="7"/>
      <c r="S56" s="7"/>
      <c r="T56" s="7"/>
      <c r="U56" s="17"/>
    </row>
    <row r="57" spans="1:21">
      <c r="A57" t="s">
        <v>51</v>
      </c>
      <c r="B57" s="10">
        <v>250.79115563025158</v>
      </c>
      <c r="C57" s="7">
        <v>91.781706891456906</v>
      </c>
      <c r="D57" s="7">
        <v>32.964848773984301</v>
      </c>
      <c r="E57" s="7">
        <v>0</v>
      </c>
      <c r="F57" s="17">
        <f t="shared" si="1"/>
        <v>375.53771129569282</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212641.96682128328</v>
      </c>
      <c r="C60" s="7">
        <f>SUM(C6:C58)</f>
        <v>93933.541621614961</v>
      </c>
      <c r="D60" s="7">
        <f>SUM(D6:D58)</f>
        <v>208210.00155710179</v>
      </c>
      <c r="E60" s="7">
        <f>SUM(E6:E58)</f>
        <v>0</v>
      </c>
      <c r="F60" s="17">
        <f>SUM(F6:F58)</f>
        <v>514785.51000000013</v>
      </c>
      <c r="K60" s="10">
        <f>SUM(K6:K58)</f>
        <v>5138</v>
      </c>
      <c r="L60" s="7">
        <f>SUM(L6:L58)</f>
        <v>490</v>
      </c>
      <c r="M60" s="7"/>
      <c r="N60" s="7">
        <f>SUM(N6:N58)</f>
        <v>228</v>
      </c>
      <c r="O60" s="7">
        <f>SUM(O6:O58)</f>
        <v>0</v>
      </c>
      <c r="P60" s="7"/>
      <c r="Q60" s="7">
        <f>SUM(Q6:Q58)</f>
        <v>304</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Italic"Monarch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-8176.1637806106155</v>
      </c>
      <c r="C6" s="7">
        <v>-3602.7099322653739</v>
      </c>
      <c r="D6" s="7">
        <v>0</v>
      </c>
      <c r="E6" s="7">
        <v>0</v>
      </c>
      <c r="F6" s="17">
        <f t="shared" ref="F6:F37" si="0">SUM(B6:E6)</f>
        <v>-11778.873712875989</v>
      </c>
      <c r="K6" s="10">
        <v>344000</v>
      </c>
      <c r="L6" s="7">
        <v>0</v>
      </c>
      <c r="M6" s="7"/>
      <c r="N6" s="7">
        <v>6060</v>
      </c>
      <c r="O6" s="7">
        <v>0</v>
      </c>
      <c r="P6" s="7"/>
      <c r="Q6" s="7">
        <v>0</v>
      </c>
      <c r="R6" s="7">
        <v>0</v>
      </c>
      <c r="S6" s="7"/>
      <c r="T6" s="7">
        <v>0</v>
      </c>
      <c r="U6" s="17">
        <v>0</v>
      </c>
    </row>
    <row r="7" spans="1:21">
      <c r="A7" t="s">
        <v>1</v>
      </c>
      <c r="B7" s="10">
        <v>-1204.715523961595</v>
      </c>
      <c r="C7" s="7">
        <v>-537.71795497578205</v>
      </c>
      <c r="D7" s="7">
        <v>0</v>
      </c>
      <c r="E7" s="7">
        <v>-511.67261149390833</v>
      </c>
      <c r="F7" s="17">
        <f t="shared" si="0"/>
        <v>-2254.1060904312853</v>
      </c>
      <c r="H7" s="22"/>
      <c r="I7" s="24"/>
      <c r="K7" s="10">
        <v>9158</v>
      </c>
      <c r="L7" s="7">
        <v>0</v>
      </c>
      <c r="M7" s="7"/>
      <c r="N7" s="7">
        <v>5158</v>
      </c>
      <c r="O7" s="7">
        <v>18000</v>
      </c>
      <c r="P7" s="7"/>
      <c r="Q7" s="7">
        <v>0</v>
      </c>
      <c r="R7" s="7">
        <v>0</v>
      </c>
      <c r="S7" s="7"/>
      <c r="T7" s="7">
        <v>4558</v>
      </c>
      <c r="U7" s="17">
        <v>0</v>
      </c>
    </row>
    <row r="8" spans="1:21">
      <c r="A8" t="s">
        <v>2</v>
      </c>
      <c r="B8" s="10">
        <v>-3024.0895427061478</v>
      </c>
      <c r="C8" s="7">
        <v>-8071.9704477133055</v>
      </c>
      <c r="D8" s="7">
        <v>0</v>
      </c>
      <c r="E8" s="7">
        <v>0</v>
      </c>
      <c r="F8" s="17">
        <f t="shared" si="0"/>
        <v>-11096.059990419453</v>
      </c>
      <c r="H8" s="4" t="s">
        <v>64</v>
      </c>
      <c r="I8" s="13"/>
      <c r="K8" s="10"/>
      <c r="L8" s="7"/>
      <c r="M8" s="7"/>
      <c r="N8" s="7"/>
      <c r="O8" s="7"/>
      <c r="P8" s="7"/>
      <c r="Q8" s="7"/>
      <c r="R8" s="7"/>
      <c r="S8" s="7"/>
      <c r="T8" s="7"/>
      <c r="U8" s="17"/>
    </row>
    <row r="9" spans="1:21">
      <c r="A9" t="s">
        <v>3</v>
      </c>
      <c r="B9" s="10">
        <v>-880.04901028714085</v>
      </c>
      <c r="C9" s="7">
        <v>-2810.3354468284961</v>
      </c>
      <c r="D9" s="7">
        <v>0</v>
      </c>
      <c r="E9" s="7">
        <v>-1.9361594535504736</v>
      </c>
      <c r="F9" s="17">
        <f t="shared" si="0"/>
        <v>-3692.3206165691872</v>
      </c>
      <c r="H9" s="4"/>
      <c r="I9" s="13"/>
      <c r="K9" s="10">
        <v>88885</v>
      </c>
      <c r="L9" s="7">
        <v>0</v>
      </c>
      <c r="M9" s="7"/>
      <c r="N9" s="7">
        <v>0</v>
      </c>
      <c r="O9" s="7">
        <v>0</v>
      </c>
      <c r="P9" s="7"/>
      <c r="Q9" s="7">
        <v>0</v>
      </c>
      <c r="R9" s="7">
        <v>0</v>
      </c>
      <c r="S9" s="7"/>
      <c r="T9" s="7">
        <v>0</v>
      </c>
      <c r="U9" s="17">
        <v>0</v>
      </c>
    </row>
    <row r="10" spans="1:21">
      <c r="A10" t="s">
        <v>4</v>
      </c>
      <c r="B10" s="10">
        <v>31039.647153420839</v>
      </c>
      <c r="C10" s="7">
        <v>14304.816550273448</v>
      </c>
      <c r="D10" s="7">
        <v>0</v>
      </c>
      <c r="E10" s="7">
        <v>0</v>
      </c>
      <c r="F10" s="17">
        <f t="shared" si="0"/>
        <v>45344.463703694288</v>
      </c>
      <c r="H10" s="4" t="s">
        <v>65</v>
      </c>
      <c r="I10" s="14">
        <v>5323073573.234868</v>
      </c>
      <c r="K10" s="10">
        <v>1212180</v>
      </c>
      <c r="L10" s="7">
        <v>2100000</v>
      </c>
      <c r="M10" s="7"/>
      <c r="N10" s="7">
        <v>554820</v>
      </c>
      <c r="O10" s="7">
        <v>950000</v>
      </c>
      <c r="P10" s="7"/>
      <c r="Q10" s="7">
        <v>0</v>
      </c>
      <c r="R10" s="7">
        <v>0</v>
      </c>
      <c r="S10" s="7"/>
      <c r="T10" s="7">
        <v>0</v>
      </c>
      <c r="U10" s="17">
        <v>0</v>
      </c>
    </row>
    <row r="11" spans="1:21">
      <c r="A11" t="s">
        <v>5</v>
      </c>
      <c r="B11" s="10">
        <v>0</v>
      </c>
      <c r="C11" s="7">
        <v>0</v>
      </c>
      <c r="D11" s="7">
        <v>0</v>
      </c>
      <c r="E11" s="7">
        <v>0</v>
      </c>
      <c r="F11" s="17">
        <f t="shared" si="0"/>
        <v>0</v>
      </c>
      <c r="H11" s="4"/>
      <c r="I11" s="14"/>
      <c r="K11" s="10">
        <v>197709</v>
      </c>
      <c r="L11" s="7">
        <v>0</v>
      </c>
      <c r="M11" s="7"/>
      <c r="N11" s="7">
        <v>12260</v>
      </c>
      <c r="O11" s="7">
        <v>0</v>
      </c>
      <c r="P11" s="7"/>
      <c r="Q11" s="7">
        <v>0</v>
      </c>
      <c r="R11" s="7">
        <v>0</v>
      </c>
      <c r="S11" s="7"/>
      <c r="T11" s="7">
        <v>0</v>
      </c>
      <c r="U11" s="17">
        <v>0</v>
      </c>
    </row>
    <row r="12" spans="1:21">
      <c r="A12" t="s">
        <v>6</v>
      </c>
      <c r="B12" s="10">
        <v>-20216.11872435722</v>
      </c>
      <c r="C12" s="7">
        <v>-83380.400432408554</v>
      </c>
      <c r="D12" s="7">
        <v>0</v>
      </c>
      <c r="E12" s="7">
        <v>-1224.6822636151064</v>
      </c>
      <c r="F12" s="17">
        <f t="shared" si="0"/>
        <v>-104821.20142038088</v>
      </c>
      <c r="H12" s="4" t="s">
        <v>66</v>
      </c>
      <c r="I12" s="14"/>
      <c r="K12" s="10">
        <v>3223000</v>
      </c>
      <c r="L12" s="7">
        <v>3223000</v>
      </c>
      <c r="M12" s="7"/>
      <c r="N12" s="7">
        <v>2322000</v>
      </c>
      <c r="O12" s="7">
        <v>2322000</v>
      </c>
      <c r="P12" s="7"/>
      <c r="Q12" s="7">
        <v>0</v>
      </c>
      <c r="R12" s="7">
        <v>0</v>
      </c>
      <c r="S12" s="7"/>
      <c r="T12" s="7">
        <v>95000</v>
      </c>
      <c r="U12" s="17">
        <v>95000</v>
      </c>
    </row>
    <row r="13" spans="1:21">
      <c r="A13" t="s">
        <v>7</v>
      </c>
      <c r="B13" s="10">
        <v>2714.8887908947072</v>
      </c>
      <c r="C13" s="7">
        <v>1262.2282425660887</v>
      </c>
      <c r="D13" s="7">
        <v>0</v>
      </c>
      <c r="E13" s="7">
        <v>372.0399443807255</v>
      </c>
      <c r="F13" s="17">
        <f t="shared" si="0"/>
        <v>4349.1569778415214</v>
      </c>
      <c r="H13" s="4" t="s">
        <v>67</v>
      </c>
      <c r="I13" s="14">
        <v>0</v>
      </c>
      <c r="K13" s="10">
        <v>109750</v>
      </c>
      <c r="L13" s="7">
        <v>0</v>
      </c>
      <c r="M13" s="7"/>
      <c r="N13" s="7">
        <v>15250</v>
      </c>
      <c r="O13" s="7">
        <v>0</v>
      </c>
      <c r="P13" s="7"/>
      <c r="Q13" s="7">
        <v>0</v>
      </c>
      <c r="R13" s="7">
        <v>0</v>
      </c>
      <c r="S13" s="7"/>
      <c r="T13" s="7">
        <v>0</v>
      </c>
      <c r="U13" s="17">
        <v>0</v>
      </c>
    </row>
    <row r="14" spans="1:21">
      <c r="A14" t="s">
        <v>8</v>
      </c>
      <c r="B14" s="10">
        <v>0</v>
      </c>
      <c r="C14" s="7">
        <v>0</v>
      </c>
      <c r="D14" s="7">
        <v>0</v>
      </c>
      <c r="E14" s="7">
        <v>0</v>
      </c>
      <c r="F14" s="17">
        <f t="shared" si="0"/>
        <v>0</v>
      </c>
      <c r="H14" s="4" t="s">
        <v>68</v>
      </c>
      <c r="I14" s="14">
        <v>15185144.999999832</v>
      </c>
      <c r="K14" s="10"/>
      <c r="L14" s="7"/>
      <c r="M14" s="7"/>
      <c r="N14" s="7"/>
      <c r="O14" s="7"/>
      <c r="P14" s="7"/>
      <c r="Q14" s="7"/>
      <c r="R14" s="7"/>
      <c r="S14" s="7"/>
      <c r="T14" s="7"/>
      <c r="U14" s="17"/>
    </row>
    <row r="15" spans="1:21">
      <c r="A15" t="s">
        <v>9</v>
      </c>
      <c r="B15" s="10">
        <v>-24866.715241264901</v>
      </c>
      <c r="C15" s="7">
        <v>-30313.437051666435</v>
      </c>
      <c r="D15" s="7">
        <v>0</v>
      </c>
      <c r="E15" s="7">
        <v>0</v>
      </c>
      <c r="F15" s="17">
        <f t="shared" si="0"/>
        <v>-55180.152292931336</v>
      </c>
      <c r="H15" s="4" t="s">
        <v>69</v>
      </c>
      <c r="I15" s="14">
        <v>5704561.2699999455</v>
      </c>
      <c r="K15" s="10"/>
      <c r="L15" s="7"/>
      <c r="M15" s="7"/>
      <c r="N15" s="7"/>
      <c r="O15" s="7"/>
      <c r="P15" s="7"/>
      <c r="Q15" s="7"/>
      <c r="R15" s="7"/>
      <c r="S15" s="7"/>
      <c r="T15" s="7"/>
      <c r="U15" s="17"/>
    </row>
    <row r="16" spans="1:21">
      <c r="A16" t="s">
        <v>10</v>
      </c>
      <c r="B16" s="10">
        <v>38223.507936347509</v>
      </c>
      <c r="C16" s="7">
        <v>18908.709951948025</v>
      </c>
      <c r="D16" s="7">
        <v>0</v>
      </c>
      <c r="E16" s="7">
        <v>2651.1670219547232</v>
      </c>
      <c r="F16" s="17">
        <f t="shared" si="0"/>
        <v>59783.384910250257</v>
      </c>
      <c r="H16" s="4" t="s">
        <v>70</v>
      </c>
      <c r="I16" s="14">
        <v>0</v>
      </c>
      <c r="K16" s="10">
        <v>1653345</v>
      </c>
      <c r="L16" s="7">
        <v>0</v>
      </c>
      <c r="M16" s="7"/>
      <c r="N16" s="7">
        <v>242689</v>
      </c>
      <c r="O16" s="7">
        <v>5681.63</v>
      </c>
      <c r="P16" s="7"/>
      <c r="Q16" s="7">
        <v>0</v>
      </c>
      <c r="R16" s="7">
        <v>0</v>
      </c>
      <c r="S16" s="7"/>
      <c r="T16" s="7">
        <v>89966</v>
      </c>
      <c r="U16" s="17">
        <v>-271.26</v>
      </c>
    </row>
    <row r="17" spans="1:21">
      <c r="A17" t="s">
        <v>11</v>
      </c>
      <c r="B17" s="10">
        <v>89.131342361448333</v>
      </c>
      <c r="C17" s="7">
        <v>2.2382697765078774</v>
      </c>
      <c r="D17" s="7">
        <v>0</v>
      </c>
      <c r="E17" s="7">
        <v>0</v>
      </c>
      <c r="F17" s="17">
        <f t="shared" si="0"/>
        <v>91.36961213795621</v>
      </c>
      <c r="H17" s="4"/>
      <c r="I17" s="14"/>
      <c r="K17" s="10">
        <v>390404</v>
      </c>
      <c r="L17" s="7">
        <v>0</v>
      </c>
      <c r="M17" s="7"/>
      <c r="N17" s="7">
        <v>27611</v>
      </c>
      <c r="O17" s="7">
        <v>0</v>
      </c>
      <c r="P17" s="7"/>
      <c r="Q17" s="7">
        <v>128</v>
      </c>
      <c r="R17" s="7">
        <v>0</v>
      </c>
      <c r="S17" s="7"/>
      <c r="T17" s="7">
        <v>0</v>
      </c>
      <c r="U17" s="17">
        <v>0</v>
      </c>
    </row>
    <row r="18" spans="1:21">
      <c r="A18" t="s">
        <v>12</v>
      </c>
      <c r="B18" s="10">
        <v>153.92643065460652</v>
      </c>
      <c r="C18" s="7">
        <v>35.879533394921054</v>
      </c>
      <c r="D18" s="7">
        <v>0</v>
      </c>
      <c r="E18" s="7">
        <v>0</v>
      </c>
      <c r="F18" s="17">
        <f t="shared" si="0"/>
        <v>189.80596404952757</v>
      </c>
      <c r="H18" s="4" t="s">
        <v>71</v>
      </c>
      <c r="I18" s="14"/>
      <c r="K18" s="10">
        <v>97650</v>
      </c>
      <c r="L18" s="7">
        <v>165039</v>
      </c>
      <c r="M18" s="7"/>
      <c r="N18" s="7">
        <v>67350</v>
      </c>
      <c r="O18" s="7">
        <v>0</v>
      </c>
      <c r="P18" s="7"/>
      <c r="Q18" s="7">
        <v>0</v>
      </c>
      <c r="R18" s="7">
        <v>0</v>
      </c>
      <c r="S18" s="7"/>
      <c r="T18" s="7">
        <v>0</v>
      </c>
      <c r="U18" s="17">
        <v>0</v>
      </c>
    </row>
    <row r="19" spans="1:21">
      <c r="A19" t="s">
        <v>13</v>
      </c>
      <c r="B19" s="10">
        <v>-15919.911203256808</v>
      </c>
      <c r="C19" s="7">
        <v>-49146.69390138099</v>
      </c>
      <c r="D19" s="7">
        <v>0</v>
      </c>
      <c r="E19" s="7">
        <v>-4177.4067342137569</v>
      </c>
      <c r="F19" s="17">
        <f t="shared" si="0"/>
        <v>-69244.011838851555</v>
      </c>
      <c r="H19" s="4" t="s">
        <v>72</v>
      </c>
      <c r="I19" s="14">
        <v>5160590573.2348652</v>
      </c>
      <c r="K19" s="10">
        <v>2250000</v>
      </c>
      <c r="L19" s="7">
        <v>6218000</v>
      </c>
      <c r="M19" s="7"/>
      <c r="N19" s="7">
        <v>2750000</v>
      </c>
      <c r="O19" s="7">
        <v>3035000</v>
      </c>
      <c r="P19" s="7"/>
      <c r="Q19" s="7">
        <v>0</v>
      </c>
      <c r="R19" s="7">
        <v>0</v>
      </c>
      <c r="S19" s="7"/>
      <c r="T19" s="7">
        <v>550000</v>
      </c>
      <c r="U19" s="17">
        <v>1138000</v>
      </c>
    </row>
    <row r="20" spans="1:21">
      <c r="A20" t="s">
        <v>14</v>
      </c>
      <c r="B20" s="10">
        <v>10303.175532022375</v>
      </c>
      <c r="C20" s="7">
        <v>25504.990921886172</v>
      </c>
      <c r="D20" s="7">
        <v>0</v>
      </c>
      <c r="E20" s="7">
        <v>1284.4563331582685</v>
      </c>
      <c r="F20" s="17">
        <f t="shared" si="0"/>
        <v>37092.622787066815</v>
      </c>
      <c r="H20" s="4" t="s">
        <v>73</v>
      </c>
      <c r="I20" s="14">
        <v>135157780.99999994</v>
      </c>
      <c r="K20" s="10"/>
      <c r="L20" s="7"/>
      <c r="M20" s="7"/>
      <c r="N20" s="7"/>
      <c r="O20" s="7"/>
      <c r="P20" s="7"/>
      <c r="Q20" s="7"/>
      <c r="R20" s="7"/>
      <c r="S20" s="7"/>
      <c r="T20" s="7"/>
      <c r="U20" s="17"/>
    </row>
    <row r="21" spans="1:21">
      <c r="A21" t="s">
        <v>15</v>
      </c>
      <c r="B21" s="10">
        <v>-6094.3723712343781</v>
      </c>
      <c r="C21" s="7">
        <v>-2919.3795918226533</v>
      </c>
      <c r="D21" s="7">
        <v>0</v>
      </c>
      <c r="E21" s="7">
        <v>0</v>
      </c>
      <c r="F21" s="17">
        <f t="shared" si="0"/>
        <v>-9013.7519630570314</v>
      </c>
      <c r="H21" s="4" t="s">
        <v>74</v>
      </c>
      <c r="I21" s="14"/>
      <c r="K21" s="10">
        <v>504000</v>
      </c>
      <c r="L21" s="7">
        <v>0</v>
      </c>
      <c r="M21" s="7"/>
      <c r="N21" s="7">
        <v>64000</v>
      </c>
      <c r="O21" s="7">
        <v>0</v>
      </c>
      <c r="P21" s="7"/>
      <c r="Q21" s="7">
        <v>0</v>
      </c>
      <c r="R21" s="7">
        <v>0</v>
      </c>
      <c r="S21" s="7"/>
      <c r="T21" s="7">
        <v>0</v>
      </c>
      <c r="U21" s="17">
        <v>0</v>
      </c>
    </row>
    <row r="22" spans="1:21">
      <c r="A22" t="s">
        <v>16</v>
      </c>
      <c r="B22" s="10">
        <v>2509.2588884110446</v>
      </c>
      <c r="C22" s="7">
        <v>1685.3933302410878</v>
      </c>
      <c r="D22" s="7">
        <v>0</v>
      </c>
      <c r="E22" s="7">
        <v>0</v>
      </c>
      <c r="F22" s="17">
        <f t="shared" si="0"/>
        <v>4194.6522186521324</v>
      </c>
      <c r="H22" s="4" t="s">
        <v>75</v>
      </c>
      <c r="I22" s="14">
        <v>0</v>
      </c>
      <c r="K22" s="10">
        <v>184000</v>
      </c>
      <c r="L22" s="7">
        <v>0</v>
      </c>
      <c r="M22" s="7"/>
      <c r="N22" s="7">
        <v>50000</v>
      </c>
      <c r="O22" s="7">
        <v>0</v>
      </c>
      <c r="P22" s="7"/>
      <c r="Q22" s="7">
        <v>0</v>
      </c>
      <c r="R22" s="7">
        <v>0</v>
      </c>
      <c r="S22" s="7"/>
      <c r="T22" s="7">
        <v>0</v>
      </c>
      <c r="U22" s="17">
        <v>0</v>
      </c>
    </row>
    <row r="23" spans="1:21">
      <c r="A23" t="s">
        <v>17</v>
      </c>
      <c r="B23" s="10">
        <v>-14583.663427669206</v>
      </c>
      <c r="C23" s="7">
        <v>-4852.490877979435</v>
      </c>
      <c r="D23" s="7">
        <v>0</v>
      </c>
      <c r="E23" s="7">
        <v>0</v>
      </c>
      <c r="F23" s="17">
        <f t="shared" si="0"/>
        <v>-19436.154305648641</v>
      </c>
      <c r="H23" s="4" t="s">
        <v>76</v>
      </c>
      <c r="I23" s="14"/>
      <c r="K23" s="10">
        <v>694762</v>
      </c>
      <c r="L23" s="7">
        <v>681287</v>
      </c>
      <c r="M23" s="7"/>
      <c r="N23" s="7">
        <v>207259</v>
      </c>
      <c r="O23" s="7">
        <v>203121</v>
      </c>
      <c r="P23" s="7"/>
      <c r="Q23" s="7">
        <v>0</v>
      </c>
      <c r="R23" s="7">
        <v>0</v>
      </c>
      <c r="S23" s="7"/>
      <c r="T23" s="7">
        <v>0</v>
      </c>
      <c r="U23" s="17">
        <v>0</v>
      </c>
    </row>
    <row r="24" spans="1:21">
      <c r="A24" t="s">
        <v>18</v>
      </c>
      <c r="B24" s="10">
        <v>0</v>
      </c>
      <c r="C24" s="7">
        <v>0</v>
      </c>
      <c r="D24" s="7">
        <v>0</v>
      </c>
      <c r="E24" s="7">
        <v>0</v>
      </c>
      <c r="F24" s="17">
        <f t="shared" si="0"/>
        <v>0</v>
      </c>
      <c r="H24" s="4" t="s">
        <v>77</v>
      </c>
      <c r="I24" s="14">
        <v>49786580.999999508</v>
      </c>
      <c r="K24" s="10"/>
      <c r="L24" s="7"/>
      <c r="M24" s="7"/>
      <c r="N24" s="7"/>
      <c r="O24" s="7"/>
      <c r="P24" s="7"/>
      <c r="Q24" s="7"/>
      <c r="R24" s="7"/>
      <c r="S24" s="7"/>
      <c r="T24" s="7"/>
      <c r="U24" s="17"/>
    </row>
    <row r="25" spans="1:21">
      <c r="A25" t="s">
        <v>19</v>
      </c>
      <c r="B25" s="10">
        <v>-2501.2690220962504</v>
      </c>
      <c r="C25" s="7">
        <v>-17295.65575736278</v>
      </c>
      <c r="D25" s="7">
        <v>0</v>
      </c>
      <c r="E25" s="7">
        <v>-628.38086755439235</v>
      </c>
      <c r="F25" s="17">
        <f t="shared" si="0"/>
        <v>-20425.305647013422</v>
      </c>
      <c r="H25" s="4"/>
      <c r="I25" s="14"/>
      <c r="K25" s="10">
        <v>44800</v>
      </c>
      <c r="L25" s="7">
        <v>0</v>
      </c>
      <c r="M25" s="7"/>
      <c r="N25" s="7">
        <v>200200</v>
      </c>
      <c r="O25" s="7">
        <v>0</v>
      </c>
      <c r="P25" s="7"/>
      <c r="Q25" s="7">
        <v>0</v>
      </c>
      <c r="R25" s="7">
        <v>0</v>
      </c>
      <c r="S25" s="7"/>
      <c r="T25" s="7">
        <v>0</v>
      </c>
      <c r="U25" s="17">
        <v>0</v>
      </c>
    </row>
    <row r="26" spans="1:21">
      <c r="A26" t="s">
        <v>20</v>
      </c>
      <c r="B26" s="10">
        <v>-6994.9564763219241</v>
      </c>
      <c r="C26" s="7">
        <v>-8917.1082290284103</v>
      </c>
      <c r="D26" s="7">
        <v>0</v>
      </c>
      <c r="E26" s="7">
        <v>0</v>
      </c>
      <c r="F26" s="17">
        <f t="shared" si="0"/>
        <v>-15912.064705350334</v>
      </c>
      <c r="H26" s="4" t="s">
        <v>78</v>
      </c>
      <c r="I26" s="14">
        <f>SUM(I10:I16)-SUM(I19:I24)</f>
        <v>-1571655.7299966812</v>
      </c>
      <c r="K26" s="10">
        <v>126719</v>
      </c>
      <c r="L26" s="7">
        <v>0</v>
      </c>
      <c r="M26" s="7"/>
      <c r="N26" s="7">
        <v>63281</v>
      </c>
      <c r="O26" s="7">
        <v>0</v>
      </c>
      <c r="P26" s="7"/>
      <c r="Q26" s="7">
        <v>0</v>
      </c>
      <c r="R26" s="7">
        <v>0</v>
      </c>
      <c r="S26" s="7"/>
      <c r="T26" s="7">
        <v>0</v>
      </c>
      <c r="U26" s="17">
        <v>0</v>
      </c>
    </row>
    <row r="27" spans="1:21">
      <c r="A27" t="s">
        <v>21</v>
      </c>
      <c r="B27" s="10">
        <v>-12913.835311706411</v>
      </c>
      <c r="C27" s="7">
        <v>-4179.5642054188938</v>
      </c>
      <c r="D27" s="7">
        <v>0</v>
      </c>
      <c r="E27" s="7">
        <v>0</v>
      </c>
      <c r="F27" s="17">
        <f t="shared" si="0"/>
        <v>-17093.399517125305</v>
      </c>
      <c r="H27" s="4" t="s">
        <v>79</v>
      </c>
      <c r="I27" s="14">
        <f>+F60</f>
        <v>-1571655.7299997252</v>
      </c>
      <c r="K27" s="10">
        <v>626000</v>
      </c>
      <c r="L27" s="7">
        <v>0</v>
      </c>
      <c r="M27" s="7"/>
      <c r="N27" s="7">
        <v>189000</v>
      </c>
      <c r="O27" s="7">
        <v>0</v>
      </c>
      <c r="P27" s="7"/>
      <c r="Q27" s="7">
        <v>0</v>
      </c>
      <c r="R27" s="7">
        <v>0</v>
      </c>
      <c r="S27" s="7"/>
      <c r="T27" s="7">
        <v>0</v>
      </c>
      <c r="U27" s="17">
        <v>0</v>
      </c>
    </row>
    <row r="28" spans="1:21">
      <c r="A28" t="s">
        <v>22</v>
      </c>
      <c r="B28" s="10">
        <v>-25372.234702184214</v>
      </c>
      <c r="C28" s="7">
        <v>-208236.21158715151</v>
      </c>
      <c r="D28" s="7">
        <v>0</v>
      </c>
      <c r="E28" s="7">
        <v>-112257.08437479008</v>
      </c>
      <c r="F28" s="17">
        <f t="shared" si="0"/>
        <v>-345865.53066412581</v>
      </c>
      <c r="H28" s="23"/>
      <c r="I28" s="25"/>
      <c r="K28" s="10">
        <v>380000</v>
      </c>
      <c r="L28" s="7">
        <v>563200</v>
      </c>
      <c r="M28" s="7"/>
      <c r="N28" s="7">
        <v>3340000</v>
      </c>
      <c r="O28" s="7">
        <v>0</v>
      </c>
      <c r="P28" s="7"/>
      <c r="Q28" s="7">
        <v>0</v>
      </c>
      <c r="R28" s="7">
        <v>0</v>
      </c>
      <c r="S28" s="7"/>
      <c r="T28" s="7">
        <v>750000</v>
      </c>
      <c r="U28" s="17">
        <v>0</v>
      </c>
    </row>
    <row r="29" spans="1:21">
      <c r="A29" t="s">
        <v>23</v>
      </c>
      <c r="B29" s="10">
        <v>-6445.3859693967388</v>
      </c>
      <c r="C29" s="7">
        <v>-6227.2582368030708</v>
      </c>
      <c r="D29" s="7">
        <v>0</v>
      </c>
      <c r="E29" s="7">
        <v>-6734.03012771254</v>
      </c>
      <c r="F29" s="17">
        <f t="shared" si="0"/>
        <v>-19406.67433391235</v>
      </c>
      <c r="K29" s="10">
        <v>927500</v>
      </c>
      <c r="L29" s="7">
        <v>0</v>
      </c>
      <c r="M29" s="7"/>
      <c r="N29" s="7">
        <v>397500</v>
      </c>
      <c r="O29" s="7">
        <v>0</v>
      </c>
      <c r="P29" s="7"/>
      <c r="Q29" s="7">
        <v>0</v>
      </c>
      <c r="R29" s="7">
        <v>0</v>
      </c>
      <c r="S29" s="7"/>
      <c r="T29" s="7">
        <v>0</v>
      </c>
      <c r="U29" s="17">
        <v>0</v>
      </c>
    </row>
    <row r="30" spans="1:21">
      <c r="A30" t="s">
        <v>24</v>
      </c>
      <c r="B30" s="10">
        <v>3047.5429618236376</v>
      </c>
      <c r="C30" s="7">
        <v>2729.801714287416</v>
      </c>
      <c r="D30" s="7">
        <v>0</v>
      </c>
      <c r="E30" s="7">
        <v>0</v>
      </c>
      <c r="F30" s="17">
        <f t="shared" si="0"/>
        <v>5777.3446761110536</v>
      </c>
      <c r="K30" s="10">
        <v>311500</v>
      </c>
      <c r="L30" s="7">
        <v>0</v>
      </c>
      <c r="M30" s="7"/>
      <c r="N30" s="7">
        <v>0</v>
      </c>
      <c r="O30" s="7">
        <v>0</v>
      </c>
      <c r="P30" s="7"/>
      <c r="Q30" s="7">
        <v>0</v>
      </c>
      <c r="R30" s="7">
        <v>0</v>
      </c>
      <c r="S30" s="7"/>
      <c r="T30" s="7">
        <v>0</v>
      </c>
      <c r="U30" s="17">
        <v>0</v>
      </c>
    </row>
    <row r="31" spans="1:21">
      <c r="A31" t="s">
        <v>25</v>
      </c>
      <c r="B31" s="10">
        <v>6682.1992171608726</v>
      </c>
      <c r="C31" s="7">
        <v>4387.5366634659003</v>
      </c>
      <c r="D31" s="7">
        <v>0</v>
      </c>
      <c r="E31" s="7">
        <v>0</v>
      </c>
      <c r="F31" s="17">
        <f t="shared" si="0"/>
        <v>11069.735880626773</v>
      </c>
      <c r="K31" s="10">
        <v>850104</v>
      </c>
      <c r="L31" s="7">
        <v>0</v>
      </c>
      <c r="M31" s="7"/>
      <c r="N31" s="7">
        <v>11428</v>
      </c>
      <c r="O31" s="7">
        <v>0</v>
      </c>
      <c r="P31" s="7"/>
      <c r="Q31" s="7">
        <v>0</v>
      </c>
      <c r="R31" s="7">
        <v>0</v>
      </c>
      <c r="S31" s="7"/>
      <c r="T31" s="7">
        <v>0</v>
      </c>
      <c r="U31" s="17">
        <v>0</v>
      </c>
    </row>
    <row r="32" spans="1:21">
      <c r="A32" t="s">
        <v>26</v>
      </c>
      <c r="B32" s="10">
        <v>-5931.786567965406</v>
      </c>
      <c r="C32" s="7">
        <v>-2218.9399956249254</v>
      </c>
      <c r="D32" s="7">
        <v>0</v>
      </c>
      <c r="E32" s="7">
        <v>0</v>
      </c>
      <c r="F32" s="17">
        <f t="shared" si="0"/>
        <v>-8150.7265635903314</v>
      </c>
      <c r="K32" s="10">
        <v>145750</v>
      </c>
      <c r="L32" s="7">
        <v>0</v>
      </c>
      <c r="M32" s="7"/>
      <c r="N32" s="7">
        <v>59660</v>
      </c>
      <c r="O32" s="7">
        <v>0</v>
      </c>
      <c r="P32" s="7"/>
      <c r="Q32" s="7">
        <v>0</v>
      </c>
      <c r="R32" s="7">
        <v>0</v>
      </c>
      <c r="S32" s="7"/>
      <c r="T32" s="7">
        <v>0</v>
      </c>
      <c r="U32" s="17">
        <v>0</v>
      </c>
    </row>
    <row r="33" spans="1:21">
      <c r="A33" t="s">
        <v>27</v>
      </c>
      <c r="B33" s="10">
        <v>-2117.2840108500968</v>
      </c>
      <c r="C33" s="7">
        <v>-6088.828298389155</v>
      </c>
      <c r="D33" s="7">
        <v>0</v>
      </c>
      <c r="E33" s="7">
        <v>0</v>
      </c>
      <c r="F33" s="17">
        <f t="shared" si="0"/>
        <v>-8206.1123092392518</v>
      </c>
      <c r="K33" s="10">
        <v>176300</v>
      </c>
      <c r="L33" s="7">
        <v>0</v>
      </c>
      <c r="M33" s="7"/>
      <c r="N33" s="7">
        <v>40295</v>
      </c>
      <c r="O33" s="7">
        <v>0</v>
      </c>
      <c r="P33" s="7"/>
      <c r="Q33" s="7">
        <v>0</v>
      </c>
      <c r="R33" s="7">
        <v>0</v>
      </c>
      <c r="S33" s="7"/>
      <c r="T33" s="7">
        <v>0</v>
      </c>
      <c r="U33" s="17">
        <v>0</v>
      </c>
    </row>
    <row r="34" spans="1:21">
      <c r="A34" t="s">
        <v>28</v>
      </c>
      <c r="B34" s="10">
        <v>78.67769343405962</v>
      </c>
      <c r="C34" s="7">
        <v>42.320538253581617</v>
      </c>
      <c r="D34" s="7">
        <v>0</v>
      </c>
      <c r="E34" s="7">
        <v>0</v>
      </c>
      <c r="F34" s="17">
        <f t="shared" si="0"/>
        <v>120.99823168764124</v>
      </c>
      <c r="K34" s="10">
        <v>75100</v>
      </c>
      <c r="L34" s="7">
        <v>0</v>
      </c>
      <c r="M34" s="7"/>
      <c r="N34" s="7">
        <v>58300</v>
      </c>
      <c r="O34" s="7">
        <v>0</v>
      </c>
      <c r="P34" s="7"/>
      <c r="Q34" s="7">
        <v>0</v>
      </c>
      <c r="R34" s="7">
        <v>0</v>
      </c>
      <c r="S34" s="7"/>
      <c r="T34" s="7">
        <v>0</v>
      </c>
      <c r="U34" s="17">
        <v>0</v>
      </c>
    </row>
    <row r="35" spans="1:21">
      <c r="A35" t="s">
        <v>29</v>
      </c>
      <c r="B35" s="10">
        <v>-7965.0454946663085</v>
      </c>
      <c r="C35" s="7">
        <v>-35680.256418386241</v>
      </c>
      <c r="D35" s="7">
        <v>0</v>
      </c>
      <c r="E35" s="7">
        <v>0</v>
      </c>
      <c r="F35" s="17">
        <f t="shared" si="0"/>
        <v>-43645.30191305255</v>
      </c>
      <c r="K35" s="10">
        <v>140000</v>
      </c>
      <c r="L35" s="7">
        <v>107002</v>
      </c>
      <c r="M35" s="7"/>
      <c r="N35" s="7">
        <v>360000</v>
      </c>
      <c r="O35" s="7">
        <v>446376</v>
      </c>
      <c r="P35" s="7"/>
      <c r="Q35" s="7">
        <v>0</v>
      </c>
      <c r="R35" s="7">
        <v>0</v>
      </c>
      <c r="S35" s="7"/>
      <c r="T35" s="7">
        <v>0</v>
      </c>
      <c r="U35" s="17">
        <v>0</v>
      </c>
    </row>
    <row r="36" spans="1:21">
      <c r="A36" t="s">
        <v>30</v>
      </c>
      <c r="B36" s="10">
        <v>-49767.43319172808</v>
      </c>
      <c r="C36" s="7">
        <v>-270380.2703495333</v>
      </c>
      <c r="D36" s="7">
        <v>0</v>
      </c>
      <c r="E36" s="7">
        <v>-15274.024740509747</v>
      </c>
      <c r="F36" s="17">
        <f t="shared" si="0"/>
        <v>-335421.72828177112</v>
      </c>
      <c r="K36" s="10">
        <v>1260000</v>
      </c>
      <c r="L36" s="7">
        <v>1627581</v>
      </c>
      <c r="M36" s="7"/>
      <c r="N36" s="7">
        <v>3740000</v>
      </c>
      <c r="O36" s="7">
        <v>4616428</v>
      </c>
      <c r="P36" s="7"/>
      <c r="Q36" s="7">
        <v>0</v>
      </c>
      <c r="R36" s="7">
        <v>0</v>
      </c>
      <c r="S36" s="7"/>
      <c r="T36" s="7">
        <v>500000</v>
      </c>
      <c r="U36" s="17">
        <v>610524</v>
      </c>
    </row>
    <row r="37" spans="1:21">
      <c r="A37" t="s">
        <v>31</v>
      </c>
      <c r="B37" s="10">
        <v>1038.0042413644915</v>
      </c>
      <c r="C37" s="7">
        <v>1259.4334023988922</v>
      </c>
      <c r="D37" s="7">
        <v>0</v>
      </c>
      <c r="E37" s="7">
        <v>0</v>
      </c>
      <c r="F37" s="17">
        <f t="shared" si="0"/>
        <v>2297.4376437633837</v>
      </c>
      <c r="K37" s="10">
        <v>1000000</v>
      </c>
      <c r="L37" s="7">
        <v>0</v>
      </c>
      <c r="M37" s="7"/>
      <c r="N37" s="7">
        <v>302243</v>
      </c>
      <c r="O37" s="7">
        <v>0</v>
      </c>
      <c r="P37" s="7"/>
      <c r="Q37" s="7">
        <v>0</v>
      </c>
      <c r="R37" s="7">
        <v>0</v>
      </c>
      <c r="S37" s="7"/>
      <c r="T37" s="7">
        <v>0</v>
      </c>
      <c r="U37" s="17">
        <v>0</v>
      </c>
    </row>
    <row r="38" spans="1:21">
      <c r="A38" t="s">
        <v>32</v>
      </c>
      <c r="B38" s="10">
        <v>-94740.555358155863</v>
      </c>
      <c r="C38" s="7">
        <v>-253099.3206013795</v>
      </c>
      <c r="D38" s="7">
        <v>0</v>
      </c>
      <c r="E38" s="7">
        <v>-9195.7838029512786</v>
      </c>
      <c r="F38" s="17">
        <f t="shared" ref="F38:F58" si="1">SUM(B38:E38)</f>
        <v>-357035.65976248664</v>
      </c>
      <c r="K38" s="10">
        <v>91500000</v>
      </c>
      <c r="L38" s="7">
        <v>54000000</v>
      </c>
      <c r="M38" s="7"/>
      <c r="N38" s="7">
        <v>0</v>
      </c>
      <c r="O38" s="7">
        <v>0</v>
      </c>
      <c r="P38" s="7"/>
      <c r="Q38" s="7">
        <v>0</v>
      </c>
      <c r="R38" s="7">
        <v>0</v>
      </c>
      <c r="S38" s="7"/>
      <c r="T38" s="7">
        <v>0</v>
      </c>
      <c r="U38" s="17">
        <v>0</v>
      </c>
    </row>
    <row r="39" spans="1:21">
      <c r="A39" t="s">
        <v>33</v>
      </c>
      <c r="B39" s="10">
        <v>-10940.138432591717</v>
      </c>
      <c r="C39" s="7">
        <v>-10733.043089642131</v>
      </c>
      <c r="D39" s="7">
        <v>0</v>
      </c>
      <c r="E39" s="7">
        <v>-626.75131593876722</v>
      </c>
      <c r="F39" s="17">
        <f t="shared" si="1"/>
        <v>-22299.932838172615</v>
      </c>
      <c r="K39" s="10">
        <v>250000</v>
      </c>
      <c r="L39" s="7">
        <v>275000</v>
      </c>
      <c r="M39" s="7"/>
      <c r="N39" s="7">
        <v>250000</v>
      </c>
      <c r="O39" s="7">
        <v>275000</v>
      </c>
      <c r="P39" s="7"/>
      <c r="Q39" s="7">
        <v>0</v>
      </c>
      <c r="R39" s="7">
        <v>0</v>
      </c>
      <c r="S39" s="7"/>
      <c r="T39" s="7">
        <v>0</v>
      </c>
      <c r="U39" s="17">
        <v>0</v>
      </c>
    </row>
    <row r="40" spans="1:21">
      <c r="A40" t="s">
        <v>34</v>
      </c>
      <c r="B40" s="10">
        <v>4457.0299343135121</v>
      </c>
      <c r="C40" s="7">
        <v>355.834551344602</v>
      </c>
      <c r="D40" s="7">
        <v>0</v>
      </c>
      <c r="E40" s="7">
        <v>0</v>
      </c>
      <c r="F40" s="17">
        <f t="shared" si="1"/>
        <v>4812.8644856581141</v>
      </c>
      <c r="K40" s="10">
        <v>10253</v>
      </c>
      <c r="L40" s="7">
        <v>0</v>
      </c>
      <c r="M40" s="7"/>
      <c r="N40" s="7">
        <v>502</v>
      </c>
      <c r="O40" s="7">
        <v>0</v>
      </c>
      <c r="P40" s="7"/>
      <c r="Q40" s="7">
        <v>0</v>
      </c>
      <c r="R40" s="7">
        <v>0</v>
      </c>
      <c r="S40" s="7"/>
      <c r="T40" s="7">
        <v>0</v>
      </c>
      <c r="U40" s="17">
        <v>0</v>
      </c>
    </row>
    <row r="41" spans="1:21">
      <c r="A41" t="s">
        <v>35</v>
      </c>
      <c r="B41" s="10">
        <v>-24175.363594379858</v>
      </c>
      <c r="C41" s="7">
        <v>-31370.728328304831</v>
      </c>
      <c r="D41" s="7">
        <v>0</v>
      </c>
      <c r="E41" s="7">
        <v>-5569.876858660602</v>
      </c>
      <c r="F41" s="17">
        <f t="shared" si="1"/>
        <v>-61115.968781345291</v>
      </c>
      <c r="K41" s="10">
        <v>200000</v>
      </c>
      <c r="L41" s="7">
        <v>0</v>
      </c>
      <c r="M41" s="7"/>
      <c r="N41" s="7">
        <v>150000</v>
      </c>
      <c r="O41" s="7">
        <v>0</v>
      </c>
      <c r="P41" s="7"/>
      <c r="Q41" s="7">
        <v>0</v>
      </c>
      <c r="R41" s="7">
        <v>0</v>
      </c>
      <c r="S41" s="7"/>
      <c r="T41" s="7">
        <v>150000</v>
      </c>
      <c r="U41" s="17">
        <v>0</v>
      </c>
    </row>
    <row r="42" spans="1:21">
      <c r="A42" t="s">
        <v>36</v>
      </c>
      <c r="B42" s="10">
        <v>-4438.0077309508051</v>
      </c>
      <c r="C42" s="7">
        <v>-1857.3120876089379</v>
      </c>
      <c r="D42" s="7">
        <v>0</v>
      </c>
      <c r="E42" s="7">
        <v>0</v>
      </c>
      <c r="F42" s="17">
        <f t="shared" si="1"/>
        <v>-6295.319818559743</v>
      </c>
      <c r="K42" s="10">
        <v>155000</v>
      </c>
      <c r="L42" s="7">
        <v>148000</v>
      </c>
      <c r="M42" s="7"/>
      <c r="N42" s="7">
        <v>95000</v>
      </c>
      <c r="O42" s="7">
        <v>92000</v>
      </c>
      <c r="P42" s="7"/>
      <c r="Q42" s="7">
        <v>0</v>
      </c>
      <c r="R42" s="7">
        <v>0</v>
      </c>
      <c r="S42" s="7"/>
      <c r="T42" s="7">
        <v>0</v>
      </c>
      <c r="U42" s="17">
        <v>0</v>
      </c>
    </row>
    <row r="43" spans="1:21">
      <c r="A43" t="s">
        <v>37</v>
      </c>
      <c r="B43" s="10">
        <v>-1326.3869318272264</v>
      </c>
      <c r="C43" s="7">
        <v>-8619.1196063495299</v>
      </c>
      <c r="D43" s="7">
        <v>0</v>
      </c>
      <c r="E43" s="7">
        <v>0</v>
      </c>
      <c r="F43" s="17">
        <f t="shared" si="1"/>
        <v>-9945.5065381767563</v>
      </c>
      <c r="K43" s="10"/>
      <c r="L43" s="7"/>
      <c r="M43" s="7"/>
      <c r="N43" s="7"/>
      <c r="O43" s="7"/>
      <c r="P43" s="7"/>
      <c r="Q43" s="7"/>
      <c r="R43" s="7"/>
      <c r="S43" s="7"/>
      <c r="T43" s="7"/>
      <c r="U43" s="17"/>
    </row>
    <row r="44" spans="1:21">
      <c r="A44" t="s">
        <v>38</v>
      </c>
      <c r="B44" s="10">
        <v>-41751.557115805103</v>
      </c>
      <c r="C44" s="7">
        <v>-23594.305783160031</v>
      </c>
      <c r="D44" s="7">
        <v>0</v>
      </c>
      <c r="E44" s="7">
        <v>-6909.916704695017</v>
      </c>
      <c r="F44" s="17">
        <f t="shared" si="1"/>
        <v>-72255.77960366015</v>
      </c>
      <c r="K44" s="10">
        <v>500000</v>
      </c>
      <c r="L44" s="7">
        <v>0</v>
      </c>
      <c r="M44" s="7"/>
      <c r="N44" s="7">
        <v>0</v>
      </c>
      <c r="O44" s="7">
        <v>0</v>
      </c>
      <c r="P44" s="7"/>
      <c r="Q44" s="7">
        <v>0</v>
      </c>
      <c r="R44" s="7">
        <v>0</v>
      </c>
      <c r="S44" s="7"/>
      <c r="T44" s="7">
        <v>0</v>
      </c>
      <c r="U44" s="17">
        <v>0</v>
      </c>
    </row>
    <row r="45" spans="1:21">
      <c r="A45" t="s">
        <v>39</v>
      </c>
      <c r="B45" s="10">
        <v>-59.041344236402665</v>
      </c>
      <c r="C45" s="7">
        <v>-154.46999804195957</v>
      </c>
      <c r="D45" s="7">
        <v>0</v>
      </c>
      <c r="E45" s="7">
        <v>0</v>
      </c>
      <c r="F45" s="17">
        <f t="shared" si="1"/>
        <v>-213.51134227836224</v>
      </c>
      <c r="K45" s="10"/>
      <c r="L45" s="7"/>
      <c r="M45" s="7"/>
      <c r="N45" s="7"/>
      <c r="O45" s="7"/>
      <c r="P45" s="7"/>
      <c r="Q45" s="7"/>
      <c r="R45" s="7"/>
      <c r="S45" s="7"/>
      <c r="T45" s="7"/>
      <c r="U45" s="17"/>
    </row>
    <row r="46" spans="1:21">
      <c r="A46" t="s">
        <v>40</v>
      </c>
      <c r="B46" s="10">
        <v>-920.80538013318437</v>
      </c>
      <c r="C46" s="7">
        <v>-384.25814990435902</v>
      </c>
      <c r="D46" s="7">
        <v>0</v>
      </c>
      <c r="E46" s="7">
        <v>0</v>
      </c>
      <c r="F46" s="17">
        <f t="shared" si="1"/>
        <v>-1305.0635300375434</v>
      </c>
      <c r="K46" s="10">
        <v>66025</v>
      </c>
      <c r="L46" s="7">
        <v>0</v>
      </c>
      <c r="M46" s="7"/>
      <c r="N46" s="7">
        <v>67975</v>
      </c>
      <c r="O46" s="7">
        <v>0</v>
      </c>
      <c r="P46" s="7"/>
      <c r="Q46" s="7">
        <v>0</v>
      </c>
      <c r="R46" s="7">
        <v>0</v>
      </c>
      <c r="S46" s="7"/>
      <c r="T46" s="7">
        <v>0</v>
      </c>
      <c r="U46" s="17">
        <v>0</v>
      </c>
    </row>
    <row r="47" spans="1:21">
      <c r="A47" t="s">
        <v>41</v>
      </c>
      <c r="B47" s="10">
        <v>-8202.7811815301247</v>
      </c>
      <c r="C47" s="7">
        <v>-5270.7703484630183</v>
      </c>
      <c r="D47" s="7">
        <v>0</v>
      </c>
      <c r="E47" s="7">
        <v>0</v>
      </c>
      <c r="F47" s="17">
        <f t="shared" si="1"/>
        <v>-13473.551529993143</v>
      </c>
      <c r="K47" s="10"/>
      <c r="L47" s="7"/>
      <c r="M47" s="7"/>
      <c r="N47" s="7"/>
      <c r="O47" s="7"/>
      <c r="P47" s="7"/>
      <c r="Q47" s="7"/>
      <c r="R47" s="7"/>
      <c r="S47" s="7"/>
      <c r="T47" s="7"/>
      <c r="U47" s="17"/>
    </row>
    <row r="48" spans="1:21">
      <c r="A48" t="s">
        <v>42</v>
      </c>
      <c r="B48" s="10">
        <v>128.73529497531126</v>
      </c>
      <c r="C48" s="7">
        <v>12.09370956579005</v>
      </c>
      <c r="D48" s="7">
        <v>0</v>
      </c>
      <c r="E48" s="7">
        <v>0</v>
      </c>
      <c r="F48" s="17">
        <f t="shared" si="1"/>
        <v>140.82900454110131</v>
      </c>
      <c r="K48" s="10">
        <v>1900000</v>
      </c>
      <c r="L48" s="7">
        <v>2065520</v>
      </c>
      <c r="M48" s="7"/>
      <c r="N48" s="7">
        <v>0</v>
      </c>
      <c r="O48" s="7">
        <v>0</v>
      </c>
      <c r="P48" s="7"/>
      <c r="Q48" s="7">
        <v>0</v>
      </c>
      <c r="R48" s="7">
        <v>0</v>
      </c>
      <c r="S48" s="7"/>
      <c r="T48" s="7">
        <v>0</v>
      </c>
      <c r="U48" s="17">
        <v>0</v>
      </c>
    </row>
    <row r="49" spans="1:21">
      <c r="A49" t="s">
        <v>43</v>
      </c>
      <c r="B49" s="10">
        <v>-8817.8298955491628</v>
      </c>
      <c r="C49" s="7">
        <v>-1806.7659601313644</v>
      </c>
      <c r="D49" s="7">
        <v>0</v>
      </c>
      <c r="E49" s="7">
        <v>0</v>
      </c>
      <c r="F49" s="17">
        <f t="shared" si="1"/>
        <v>-10624.595855680527</v>
      </c>
      <c r="K49" s="10">
        <v>300000</v>
      </c>
      <c r="L49" s="7">
        <v>0</v>
      </c>
      <c r="M49" s="7"/>
      <c r="N49" s="7">
        <v>130000</v>
      </c>
      <c r="O49" s="7">
        <v>0</v>
      </c>
      <c r="P49" s="7"/>
      <c r="Q49" s="7">
        <v>0</v>
      </c>
      <c r="R49" s="7">
        <v>0</v>
      </c>
      <c r="S49" s="7"/>
      <c r="T49" s="7">
        <v>0</v>
      </c>
      <c r="U49" s="17">
        <v>0</v>
      </c>
    </row>
    <row r="50" spans="1:21">
      <c r="A50" t="s">
        <v>44</v>
      </c>
      <c r="B50" s="10">
        <v>-25149.029234128713</v>
      </c>
      <c r="C50" s="7">
        <v>-7744.4641774116608</v>
      </c>
      <c r="D50" s="7">
        <v>0</v>
      </c>
      <c r="E50" s="7">
        <v>-3919.5378821829072</v>
      </c>
      <c r="F50" s="17">
        <f t="shared" si="1"/>
        <v>-36813.031293723281</v>
      </c>
      <c r="K50" s="10">
        <v>678676</v>
      </c>
      <c r="L50" s="7">
        <v>827199.84725400002</v>
      </c>
      <c r="M50" s="7"/>
      <c r="N50" s="7">
        <v>120850</v>
      </c>
      <c r="O50" s="7">
        <v>147222.508026</v>
      </c>
      <c r="P50" s="7"/>
      <c r="Q50" s="7">
        <v>3545420</v>
      </c>
      <c r="R50" s="7">
        <v>4321351.3147200001</v>
      </c>
      <c r="S50" s="7"/>
      <c r="T50" s="7">
        <v>0</v>
      </c>
      <c r="U50" s="17">
        <v>0</v>
      </c>
    </row>
    <row r="51" spans="1:21">
      <c r="A51" t="s">
        <v>45</v>
      </c>
      <c r="B51" s="10">
        <v>2004.5890033779287</v>
      </c>
      <c r="C51" s="7">
        <v>931.77136165287084</v>
      </c>
      <c r="D51" s="7">
        <v>0</v>
      </c>
      <c r="E51" s="7">
        <v>3237.7225423402851</v>
      </c>
      <c r="F51" s="17">
        <f t="shared" si="1"/>
        <v>6174.0829073710847</v>
      </c>
      <c r="K51" s="10">
        <v>373502</v>
      </c>
      <c r="L51" s="7">
        <v>318285</v>
      </c>
      <c r="M51" s="7"/>
      <c r="N51" s="7">
        <v>123276</v>
      </c>
      <c r="O51" s="7">
        <v>106095</v>
      </c>
      <c r="P51" s="7"/>
      <c r="Q51" s="7">
        <v>3221</v>
      </c>
      <c r="R51" s="7">
        <v>0</v>
      </c>
      <c r="S51" s="7"/>
      <c r="T51" s="7">
        <v>0</v>
      </c>
      <c r="U51" s="17">
        <v>0</v>
      </c>
    </row>
    <row r="52" spans="1:21">
      <c r="A52" t="s">
        <v>46</v>
      </c>
      <c r="B52" s="10">
        <v>-1201.9499862508565</v>
      </c>
      <c r="C52" s="7">
        <v>-15540.403638823016</v>
      </c>
      <c r="D52" s="7">
        <v>0</v>
      </c>
      <c r="E52" s="7">
        <v>-3802.04741033553</v>
      </c>
      <c r="F52" s="17">
        <f t="shared" si="1"/>
        <v>-20544.401035409403</v>
      </c>
      <c r="K52" s="10">
        <v>23000</v>
      </c>
      <c r="L52" s="7">
        <v>0</v>
      </c>
      <c r="M52" s="7"/>
      <c r="N52" s="7">
        <v>219500</v>
      </c>
      <c r="O52" s="7">
        <v>0</v>
      </c>
      <c r="P52" s="7"/>
      <c r="Q52" s="7">
        <v>0</v>
      </c>
      <c r="R52" s="7">
        <v>0</v>
      </c>
      <c r="S52" s="7"/>
      <c r="T52" s="7">
        <v>0</v>
      </c>
      <c r="U52" s="17">
        <v>0</v>
      </c>
    </row>
    <row r="53" spans="1:21">
      <c r="A53" t="s">
        <v>47</v>
      </c>
      <c r="B53" s="10">
        <v>-3691.1076297354884</v>
      </c>
      <c r="C53" s="7">
        <v>-3211.7496417737566</v>
      </c>
      <c r="D53" s="7">
        <v>0</v>
      </c>
      <c r="E53" s="7">
        <v>0</v>
      </c>
      <c r="F53" s="17">
        <f t="shared" si="1"/>
        <v>-6902.857271509245</v>
      </c>
      <c r="K53" s="10">
        <v>683540</v>
      </c>
      <c r="L53" s="7">
        <v>1010868</v>
      </c>
      <c r="M53" s="7"/>
      <c r="N53" s="7">
        <v>8711</v>
      </c>
      <c r="O53" s="7">
        <v>7374</v>
      </c>
      <c r="P53" s="7"/>
      <c r="Q53" s="7">
        <v>398463</v>
      </c>
      <c r="R53" s="7">
        <v>420000</v>
      </c>
      <c r="S53" s="7"/>
      <c r="T53" s="7">
        <v>0</v>
      </c>
      <c r="U53" s="17">
        <v>0</v>
      </c>
    </row>
    <row r="54" spans="1:21">
      <c r="A54" t="s">
        <v>48</v>
      </c>
      <c r="B54" s="10">
        <v>-3153.6166459797241</v>
      </c>
      <c r="C54" s="7">
        <v>-18119.563847611076</v>
      </c>
      <c r="D54" s="7">
        <v>0</v>
      </c>
      <c r="E54" s="7">
        <v>-464.33752257615015</v>
      </c>
      <c r="F54" s="17">
        <f t="shared" si="1"/>
        <v>-21737.518016166949</v>
      </c>
      <c r="K54" s="10"/>
      <c r="L54" s="7"/>
      <c r="M54" s="7"/>
      <c r="N54" s="7"/>
      <c r="O54" s="7"/>
      <c r="P54" s="7"/>
      <c r="Q54" s="7"/>
      <c r="R54" s="7"/>
      <c r="S54" s="7"/>
      <c r="T54" s="7"/>
      <c r="U54" s="17"/>
    </row>
    <row r="55" spans="1:21">
      <c r="A55" t="s">
        <v>49</v>
      </c>
      <c r="B55" s="10">
        <v>-3198.4852503316797</v>
      </c>
      <c r="C55" s="7">
        <v>-674.08015470838654</v>
      </c>
      <c r="D55" s="7">
        <v>0</v>
      </c>
      <c r="E55" s="7">
        <v>0</v>
      </c>
      <c r="F55" s="17">
        <f t="shared" si="1"/>
        <v>-3872.5654050400663</v>
      </c>
      <c r="K55" s="10">
        <v>51698</v>
      </c>
      <c r="L55" s="7">
        <v>63442</v>
      </c>
      <c r="M55" s="7"/>
      <c r="N55" s="7">
        <v>2293</v>
      </c>
      <c r="O55" s="7">
        <v>351</v>
      </c>
      <c r="P55" s="7"/>
      <c r="Q55" s="7">
        <v>79100</v>
      </c>
      <c r="R55" s="7">
        <v>95605</v>
      </c>
      <c r="S55" s="7"/>
      <c r="T55" s="7">
        <v>0</v>
      </c>
      <c r="U55" s="17">
        <v>0</v>
      </c>
    </row>
    <row r="56" spans="1:21">
      <c r="A56" t="s">
        <v>50</v>
      </c>
      <c r="B56" s="10">
        <v>-2765.5845902304281</v>
      </c>
      <c r="C56" s="7">
        <v>-1409.6283452306961</v>
      </c>
      <c r="D56" s="7">
        <v>0</v>
      </c>
      <c r="E56" s="7">
        <v>0</v>
      </c>
      <c r="F56" s="17">
        <f t="shared" si="1"/>
        <v>-4175.2129354611243</v>
      </c>
      <c r="K56" s="10"/>
      <c r="L56" s="7"/>
      <c r="M56" s="7"/>
      <c r="N56" s="7"/>
      <c r="O56" s="7"/>
      <c r="P56" s="7"/>
      <c r="Q56" s="7"/>
      <c r="R56" s="7"/>
      <c r="S56" s="7"/>
      <c r="T56" s="7"/>
      <c r="U56" s="17"/>
    </row>
    <row r="57" spans="1:21">
      <c r="A57" t="s">
        <v>51</v>
      </c>
      <c r="B57" s="10">
        <v>-3790.3616136376513</v>
      </c>
      <c r="C57" s="7">
        <v>-50.165665492284006</v>
      </c>
      <c r="D57" s="7">
        <v>0</v>
      </c>
      <c r="E57" s="7">
        <v>0</v>
      </c>
      <c r="F57" s="17">
        <f t="shared" si="1"/>
        <v>-3840.5272791299353</v>
      </c>
      <c r="K57" s="10">
        <v>214537</v>
      </c>
      <c r="L57" s="7">
        <v>0</v>
      </c>
      <c r="M57" s="7"/>
      <c r="N57" s="7">
        <v>16178</v>
      </c>
      <c r="O57" s="7">
        <v>0</v>
      </c>
      <c r="P57" s="7"/>
      <c r="Q57" s="7">
        <v>105957</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-350827.31706715497</v>
      </c>
      <c r="C60" s="7">
        <f>SUM(C6:C58)</f>
        <v>-1057076.3293977203</v>
      </c>
      <c r="D60" s="7">
        <f>SUM(D6:D58)</f>
        <v>0</v>
      </c>
      <c r="E60" s="7">
        <f>SUM(E6:E58)</f>
        <v>-163752.08353484937</v>
      </c>
      <c r="F60" s="17">
        <f>SUM(F6:F58)</f>
        <v>-1571655.7299997252</v>
      </c>
      <c r="K60" s="10">
        <f>SUM(K6:K58)</f>
        <v>113928847</v>
      </c>
      <c r="L60" s="7">
        <f>SUM(L6:L58)</f>
        <v>73393423.847253993</v>
      </c>
      <c r="M60" s="7"/>
      <c r="N60" s="7">
        <f>SUM(N6:N58)</f>
        <v>16270649</v>
      </c>
      <c r="O60" s="7">
        <f>SUM(O6:O58)</f>
        <v>12224649.138025999</v>
      </c>
      <c r="P60" s="7"/>
      <c r="Q60" s="7">
        <f>SUM(Q6:Q58)</f>
        <v>4132289</v>
      </c>
      <c r="R60" s="7">
        <f>SUM(R6:R58)</f>
        <v>4836956.3147200001</v>
      </c>
      <c r="S60" s="7"/>
      <c r="T60" s="7">
        <f>SUM(T6:T58)</f>
        <v>2139524</v>
      </c>
      <c r="U60" s="17">
        <f>SUM(U6:U58)</f>
        <v>1843252.74</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Italic"Mutual Benefit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51.394642340885184</v>
      </c>
      <c r="C6" s="7">
        <v>61.505623405588267</v>
      </c>
      <c r="D6" s="7">
        <v>-2622.4320784701822</v>
      </c>
      <c r="E6" s="7">
        <v>0</v>
      </c>
      <c r="F6" s="17">
        <f t="shared" ref="F6:F37" si="0">SUM(B6:E6)</f>
        <v>-2509.5318127237088</v>
      </c>
      <c r="K6" s="10">
        <v>98826</v>
      </c>
      <c r="L6" s="7">
        <v>0</v>
      </c>
      <c r="M6" s="7"/>
      <c r="N6" s="7">
        <v>81514</v>
      </c>
      <c r="O6" s="7">
        <v>0</v>
      </c>
      <c r="P6" s="7"/>
      <c r="Q6" s="7">
        <v>3000</v>
      </c>
      <c r="R6" s="7">
        <v>0</v>
      </c>
      <c r="S6" s="7"/>
      <c r="T6" s="7">
        <v>0</v>
      </c>
      <c r="U6" s="17">
        <v>0</v>
      </c>
    </row>
    <row r="7" spans="1:21">
      <c r="A7" t="s">
        <v>1</v>
      </c>
      <c r="B7" s="10">
        <v>1421.9983138567768</v>
      </c>
      <c r="C7" s="7">
        <v>6618.3082176620228</v>
      </c>
      <c r="D7" s="7">
        <v>0</v>
      </c>
      <c r="E7" s="7">
        <v>0</v>
      </c>
      <c r="F7" s="17">
        <f t="shared" si="0"/>
        <v>8040.3065315187996</v>
      </c>
      <c r="H7" s="22"/>
      <c r="I7" s="24"/>
      <c r="K7" s="10">
        <v>135583</v>
      </c>
      <c r="L7" s="7">
        <v>55200</v>
      </c>
      <c r="M7" s="7"/>
      <c r="N7" s="7">
        <v>33801</v>
      </c>
      <c r="O7" s="7">
        <v>47371</v>
      </c>
      <c r="P7" s="7"/>
      <c r="Q7" s="7">
        <v>0</v>
      </c>
      <c r="R7" s="7">
        <v>0</v>
      </c>
      <c r="S7" s="7"/>
      <c r="T7" s="7">
        <v>0</v>
      </c>
      <c r="U7" s="17">
        <v>0</v>
      </c>
    </row>
    <row r="8" spans="1:21">
      <c r="A8" t="s">
        <v>2</v>
      </c>
      <c r="B8" s="10">
        <v>36557.926301575353</v>
      </c>
      <c r="C8" s="7">
        <v>78959.165682846447</v>
      </c>
      <c r="D8" s="7">
        <v>1996.4206454518026</v>
      </c>
      <c r="E8" s="7">
        <v>0</v>
      </c>
      <c r="F8" s="17">
        <f t="shared" si="0"/>
        <v>117513.5126298736</v>
      </c>
      <c r="H8" s="4" t="s">
        <v>64</v>
      </c>
      <c r="I8" s="13"/>
      <c r="K8" s="10">
        <v>575300</v>
      </c>
      <c r="L8" s="7">
        <v>0</v>
      </c>
      <c r="M8" s="7"/>
      <c r="N8" s="7">
        <v>394119</v>
      </c>
      <c r="O8" s="7">
        <v>0</v>
      </c>
      <c r="P8" s="7"/>
      <c r="Q8" s="7">
        <v>0</v>
      </c>
      <c r="R8" s="7">
        <v>0</v>
      </c>
      <c r="S8" s="7"/>
      <c r="T8" s="7">
        <v>0</v>
      </c>
      <c r="U8" s="17">
        <v>0</v>
      </c>
    </row>
    <row r="9" spans="1:21">
      <c r="A9" t="s">
        <v>3</v>
      </c>
      <c r="B9" s="10">
        <v>32696.968099889782</v>
      </c>
      <c r="C9" s="7">
        <v>38012.568021094383</v>
      </c>
      <c r="D9" s="7">
        <v>-194000.24363678676</v>
      </c>
      <c r="E9" s="7">
        <v>0</v>
      </c>
      <c r="F9" s="17">
        <f t="shared" si="0"/>
        <v>-123290.7075158026</v>
      </c>
      <c r="H9" s="4"/>
      <c r="I9" s="13"/>
      <c r="K9" s="10">
        <v>203542</v>
      </c>
      <c r="L9" s="7">
        <v>0</v>
      </c>
      <c r="M9" s="7"/>
      <c r="N9" s="7">
        <v>0</v>
      </c>
      <c r="O9" s="7">
        <v>0</v>
      </c>
      <c r="P9" s="7"/>
      <c r="Q9" s="7">
        <v>337005</v>
      </c>
      <c r="R9" s="7">
        <v>0</v>
      </c>
      <c r="S9" s="7"/>
      <c r="T9" s="7">
        <v>0</v>
      </c>
      <c r="U9" s="17">
        <v>0</v>
      </c>
    </row>
    <row r="10" spans="1:21">
      <c r="A10" t="s">
        <v>4</v>
      </c>
      <c r="B10" s="10">
        <v>-172649.48611249705</v>
      </c>
      <c r="C10" s="7">
        <v>-593109.68036001595</v>
      </c>
      <c r="D10" s="7">
        <v>0</v>
      </c>
      <c r="E10" s="7">
        <v>0</v>
      </c>
      <c r="F10" s="17">
        <f t="shared" si="0"/>
        <v>-765759.166472513</v>
      </c>
      <c r="H10" s="4" t="s">
        <v>65</v>
      </c>
      <c r="I10" s="14">
        <v>250904755.24000001</v>
      </c>
      <c r="K10" s="10">
        <v>1363000</v>
      </c>
      <c r="L10" s="7">
        <v>725000</v>
      </c>
      <c r="M10" s="7"/>
      <c r="N10" s="7">
        <v>3337000</v>
      </c>
      <c r="O10" s="7">
        <v>1400000</v>
      </c>
      <c r="P10" s="7"/>
      <c r="Q10" s="7">
        <v>450000</v>
      </c>
      <c r="R10" s="7">
        <v>150000</v>
      </c>
      <c r="S10" s="7"/>
      <c r="T10" s="7">
        <v>0</v>
      </c>
      <c r="U10" s="17">
        <v>0</v>
      </c>
    </row>
    <row r="11" spans="1:21">
      <c r="A11" t="s">
        <v>5</v>
      </c>
      <c r="B11" s="10">
        <v>0</v>
      </c>
      <c r="C11" s="7">
        <v>0</v>
      </c>
      <c r="D11" s="7">
        <v>0</v>
      </c>
      <c r="E11" s="7">
        <v>0</v>
      </c>
      <c r="F11" s="17">
        <f t="shared" si="0"/>
        <v>0</v>
      </c>
      <c r="H11" s="4"/>
      <c r="I11" s="14"/>
      <c r="K11" s="10">
        <v>10025</v>
      </c>
      <c r="L11" s="7">
        <v>0</v>
      </c>
      <c r="M11" s="7"/>
      <c r="N11" s="7">
        <v>245</v>
      </c>
      <c r="O11" s="7">
        <v>0</v>
      </c>
      <c r="P11" s="7"/>
      <c r="Q11" s="7">
        <v>39730</v>
      </c>
      <c r="R11" s="7">
        <v>0</v>
      </c>
      <c r="S11" s="7"/>
      <c r="T11" s="7">
        <v>0</v>
      </c>
      <c r="U11" s="17">
        <v>0</v>
      </c>
    </row>
    <row r="12" spans="1:21">
      <c r="A12" t="s">
        <v>6</v>
      </c>
      <c r="B12" s="10">
        <v>-11131.913416996496</v>
      </c>
      <c r="C12" s="7">
        <v>-16663.519693504364</v>
      </c>
      <c r="D12" s="7">
        <v>0</v>
      </c>
      <c r="E12" s="7">
        <v>0</v>
      </c>
      <c r="F12" s="17">
        <f t="shared" si="0"/>
        <v>-27795.43311050086</v>
      </c>
      <c r="H12" s="4" t="s">
        <v>66</v>
      </c>
      <c r="I12" s="14"/>
      <c r="K12" s="10">
        <v>109000</v>
      </c>
      <c r="L12" s="7">
        <v>0</v>
      </c>
      <c r="M12" s="7"/>
      <c r="N12" s="7">
        <v>80000</v>
      </c>
      <c r="O12" s="7">
        <v>0</v>
      </c>
      <c r="P12" s="7"/>
      <c r="Q12" s="7">
        <v>0</v>
      </c>
      <c r="R12" s="7">
        <v>0</v>
      </c>
      <c r="S12" s="7"/>
      <c r="T12" s="7">
        <v>0</v>
      </c>
      <c r="U12" s="17">
        <v>0</v>
      </c>
    </row>
    <row r="13" spans="1:21">
      <c r="A13" t="s">
        <v>7</v>
      </c>
      <c r="B13" s="10">
        <v>8483.4942912385486</v>
      </c>
      <c r="C13" s="7">
        <v>18490.652085901966</v>
      </c>
      <c r="D13" s="7">
        <v>-664.7691993734062</v>
      </c>
      <c r="E13" s="7">
        <v>0</v>
      </c>
      <c r="F13" s="17">
        <f t="shared" si="0"/>
        <v>26309.377177767106</v>
      </c>
      <c r="H13" s="4" t="s">
        <v>67</v>
      </c>
      <c r="I13" s="14">
        <v>0</v>
      </c>
      <c r="K13" s="10">
        <v>64500</v>
      </c>
      <c r="L13" s="7">
        <v>0</v>
      </c>
      <c r="M13" s="7"/>
      <c r="N13" s="7">
        <v>85500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186780.2156569272</v>
      </c>
      <c r="C15" s="7">
        <v>457245.74945174716</v>
      </c>
      <c r="D15" s="7">
        <v>11824.929808919405</v>
      </c>
      <c r="E15" s="7">
        <v>5731.567717149901</v>
      </c>
      <c r="F15" s="17">
        <f t="shared" si="0"/>
        <v>661582.46263474366</v>
      </c>
      <c r="H15" s="4" t="s">
        <v>69</v>
      </c>
      <c r="I15" s="14">
        <v>1556795.4299999992</v>
      </c>
      <c r="K15" s="10">
        <v>1900000</v>
      </c>
      <c r="L15" s="7">
        <v>0</v>
      </c>
      <c r="M15" s="7"/>
      <c r="N15" s="7">
        <v>3800000</v>
      </c>
      <c r="O15" s="7">
        <v>0</v>
      </c>
      <c r="P15" s="7"/>
      <c r="Q15" s="7">
        <v>0</v>
      </c>
      <c r="R15" s="7">
        <v>0</v>
      </c>
      <c r="S15" s="7"/>
      <c r="T15" s="7">
        <v>0</v>
      </c>
      <c r="U15" s="17">
        <v>0</v>
      </c>
    </row>
    <row r="16" spans="1:21">
      <c r="A16" t="s">
        <v>10</v>
      </c>
      <c r="B16" s="10">
        <v>-31373.180124777486</v>
      </c>
      <c r="C16" s="7">
        <v>-67326.243208467262</v>
      </c>
      <c r="D16" s="7">
        <v>-258.70323343726841</v>
      </c>
      <c r="E16" s="7">
        <v>0</v>
      </c>
      <c r="F16" s="17">
        <f t="shared" si="0"/>
        <v>-98958.126566682011</v>
      </c>
      <c r="H16" s="4" t="s">
        <v>70</v>
      </c>
      <c r="I16" s="14">
        <v>0</v>
      </c>
      <c r="K16" s="10">
        <v>3053818</v>
      </c>
      <c r="L16" s="7">
        <v>0</v>
      </c>
      <c r="M16" s="7"/>
      <c r="N16" s="7">
        <v>0</v>
      </c>
      <c r="O16" s="7">
        <v>0</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1661.2198389373334</v>
      </c>
      <c r="C18" s="7">
        <v>4251.8410103538627</v>
      </c>
      <c r="D18" s="7">
        <v>0</v>
      </c>
      <c r="E18" s="7">
        <v>0</v>
      </c>
      <c r="F18" s="17">
        <f t="shared" si="0"/>
        <v>5913.0608492911961</v>
      </c>
      <c r="H18" s="4" t="s">
        <v>71</v>
      </c>
      <c r="I18" s="14"/>
      <c r="K18" s="10">
        <v>55000</v>
      </c>
      <c r="L18" s="7">
        <v>0</v>
      </c>
      <c r="M18" s="7"/>
      <c r="N18" s="7">
        <v>85000</v>
      </c>
      <c r="O18" s="7">
        <v>0</v>
      </c>
      <c r="P18" s="7"/>
      <c r="Q18" s="7">
        <v>0</v>
      </c>
      <c r="R18" s="7">
        <v>0</v>
      </c>
      <c r="S18" s="7"/>
      <c r="T18" s="7">
        <v>0</v>
      </c>
      <c r="U18" s="17">
        <v>0</v>
      </c>
    </row>
    <row r="19" spans="1:21">
      <c r="A19" t="s">
        <v>13</v>
      </c>
      <c r="B19" s="10">
        <v>-7850.941258010047</v>
      </c>
      <c r="C19" s="7">
        <v>-43775.319187710062</v>
      </c>
      <c r="D19" s="7">
        <v>-344.54703338784748</v>
      </c>
      <c r="E19" s="7">
        <v>0</v>
      </c>
      <c r="F19" s="17">
        <f t="shared" si="0"/>
        <v>-51970.807479107956</v>
      </c>
      <c r="H19" s="4" t="s">
        <v>72</v>
      </c>
      <c r="I19" s="14">
        <v>121248273.15500002</v>
      </c>
      <c r="K19" s="10">
        <v>1100000</v>
      </c>
      <c r="L19" s="7">
        <v>1046000</v>
      </c>
      <c r="M19" s="7"/>
      <c r="N19" s="7">
        <v>4700000</v>
      </c>
      <c r="O19" s="7">
        <v>3988000</v>
      </c>
      <c r="P19" s="7"/>
      <c r="Q19" s="7">
        <v>30000</v>
      </c>
      <c r="R19" s="7">
        <v>31000</v>
      </c>
      <c r="S19" s="7"/>
      <c r="T19" s="7">
        <v>30000</v>
      </c>
      <c r="U19" s="17">
        <v>84000</v>
      </c>
    </row>
    <row r="20" spans="1:21">
      <c r="A20" t="s">
        <v>14</v>
      </c>
      <c r="B20" s="10">
        <v>1683435.3115501506</v>
      </c>
      <c r="C20" s="7">
        <v>6089404.0522995517</v>
      </c>
      <c r="D20" s="7">
        <v>11242.961666394083</v>
      </c>
      <c r="E20" s="7">
        <v>4753586.3510610592</v>
      </c>
      <c r="F20" s="17">
        <f t="shared" si="0"/>
        <v>12537668.676577155</v>
      </c>
      <c r="H20" s="4" t="s">
        <v>73</v>
      </c>
      <c r="I20" s="14">
        <v>2469</v>
      </c>
      <c r="K20" s="10">
        <v>16867025</v>
      </c>
      <c r="L20" s="7">
        <v>5000000</v>
      </c>
      <c r="M20" s="7"/>
      <c r="N20" s="7">
        <v>60219197</v>
      </c>
      <c r="O20" s="7">
        <v>0</v>
      </c>
      <c r="P20" s="7"/>
      <c r="Q20" s="7">
        <v>17051</v>
      </c>
      <c r="R20" s="7">
        <v>0</v>
      </c>
      <c r="S20" s="7"/>
      <c r="T20" s="7">
        <v>0</v>
      </c>
      <c r="U20" s="17">
        <v>0</v>
      </c>
    </row>
    <row r="21" spans="1:21">
      <c r="A21" t="s">
        <v>15</v>
      </c>
      <c r="B21" s="10">
        <v>137949.75862779678</v>
      </c>
      <c r="C21" s="7">
        <v>354813.36507599382</v>
      </c>
      <c r="D21" s="7">
        <v>-21615.391344490905</v>
      </c>
      <c r="E21" s="7">
        <v>0</v>
      </c>
      <c r="F21" s="17">
        <f t="shared" si="0"/>
        <v>471147.73235929967</v>
      </c>
      <c r="H21" s="4" t="s">
        <v>74</v>
      </c>
      <c r="I21" s="14"/>
      <c r="K21" s="10">
        <v>990079</v>
      </c>
      <c r="L21" s="7">
        <v>0</v>
      </c>
      <c r="M21" s="7"/>
      <c r="N21" s="7">
        <v>1835190</v>
      </c>
      <c r="O21" s="7">
        <v>0</v>
      </c>
      <c r="P21" s="7"/>
      <c r="Q21" s="7">
        <v>9720</v>
      </c>
      <c r="R21" s="7">
        <v>0</v>
      </c>
      <c r="S21" s="7"/>
      <c r="T21" s="7">
        <v>0</v>
      </c>
      <c r="U21" s="17">
        <v>0</v>
      </c>
    </row>
    <row r="22" spans="1:21">
      <c r="A22" t="s">
        <v>16</v>
      </c>
      <c r="B22" s="10">
        <v>73947.174752050545</v>
      </c>
      <c r="C22" s="7">
        <v>122709.95844132826</v>
      </c>
      <c r="D22" s="7">
        <v>-24861.994463974253</v>
      </c>
      <c r="E22" s="7">
        <v>0</v>
      </c>
      <c r="F22" s="17">
        <f t="shared" si="0"/>
        <v>171795.13872940454</v>
      </c>
      <c r="H22" s="4" t="s">
        <v>75</v>
      </c>
      <c r="I22" s="14">
        <v>7587731.2300000004</v>
      </c>
      <c r="K22" s="10">
        <v>200000</v>
      </c>
      <c r="L22" s="7">
        <v>0</v>
      </c>
      <c r="M22" s="7"/>
      <c r="N22" s="7">
        <v>2300000</v>
      </c>
      <c r="O22" s="7">
        <v>0</v>
      </c>
      <c r="P22" s="7"/>
      <c r="Q22" s="7">
        <v>0</v>
      </c>
      <c r="R22" s="7">
        <v>0</v>
      </c>
      <c r="S22" s="7"/>
      <c r="T22" s="7">
        <v>0</v>
      </c>
      <c r="U22" s="17">
        <v>0</v>
      </c>
    </row>
    <row r="23" spans="1:21">
      <c r="A23" t="s">
        <v>17</v>
      </c>
      <c r="B23" s="10">
        <v>-6562.071081100119</v>
      </c>
      <c r="C23" s="7">
        <v>-3826.4636836023419</v>
      </c>
      <c r="D23" s="7">
        <v>-719.69579427495592</v>
      </c>
      <c r="E23" s="7">
        <v>0</v>
      </c>
      <c r="F23" s="17">
        <f t="shared" si="0"/>
        <v>-11108.230558977417</v>
      </c>
      <c r="H23" s="4" t="s">
        <v>76</v>
      </c>
      <c r="I23" s="14"/>
      <c r="K23" s="10">
        <v>264400</v>
      </c>
      <c r="L23" s="7">
        <v>175256</v>
      </c>
      <c r="M23" s="7"/>
      <c r="N23" s="7">
        <v>130200</v>
      </c>
      <c r="O23" s="7">
        <v>87747</v>
      </c>
      <c r="P23" s="7"/>
      <c r="Q23" s="7">
        <v>25200</v>
      </c>
      <c r="R23" s="7">
        <v>0</v>
      </c>
      <c r="S23" s="7"/>
      <c r="T23" s="7">
        <v>0</v>
      </c>
      <c r="U23" s="17">
        <v>0</v>
      </c>
    </row>
    <row r="24" spans="1:21">
      <c r="A24" t="s">
        <v>18</v>
      </c>
      <c r="B24" s="10">
        <v>0</v>
      </c>
      <c r="C24" s="7">
        <v>0</v>
      </c>
      <c r="D24" s="7">
        <v>0</v>
      </c>
      <c r="E24" s="7">
        <v>0</v>
      </c>
      <c r="F24" s="17">
        <f t="shared" si="0"/>
        <v>0</v>
      </c>
      <c r="H24" s="4" t="s">
        <v>77</v>
      </c>
      <c r="I24" s="14">
        <v>110874057.84500001</v>
      </c>
      <c r="K24" s="10"/>
      <c r="L24" s="7"/>
      <c r="M24" s="7"/>
      <c r="N24" s="7"/>
      <c r="O24" s="7"/>
      <c r="P24" s="7"/>
      <c r="Q24" s="7"/>
      <c r="R24" s="7"/>
      <c r="S24" s="7"/>
      <c r="T24" s="7"/>
      <c r="U24" s="17"/>
    </row>
    <row r="25" spans="1:21">
      <c r="A25" t="s">
        <v>19</v>
      </c>
      <c r="B25" s="10">
        <v>75400.133558738627</v>
      </c>
      <c r="C25" s="7">
        <v>124346.54126472428</v>
      </c>
      <c r="D25" s="7">
        <v>20.023034400005514</v>
      </c>
      <c r="E25" s="7">
        <v>0</v>
      </c>
      <c r="F25" s="17">
        <f t="shared" si="0"/>
        <v>199766.69785786292</v>
      </c>
      <c r="H25" s="4"/>
      <c r="I25" s="14"/>
      <c r="K25" s="10">
        <v>650000</v>
      </c>
      <c r="L25" s="7">
        <v>0</v>
      </c>
      <c r="M25" s="7"/>
      <c r="N25" s="7">
        <v>375000</v>
      </c>
      <c r="O25" s="7">
        <v>0</v>
      </c>
      <c r="P25" s="7"/>
      <c r="Q25" s="7">
        <v>0</v>
      </c>
      <c r="R25" s="7">
        <v>0</v>
      </c>
      <c r="S25" s="7"/>
      <c r="T25" s="7">
        <v>0</v>
      </c>
      <c r="U25" s="17">
        <v>0</v>
      </c>
    </row>
    <row r="26" spans="1:21">
      <c r="A26" t="s">
        <v>20</v>
      </c>
      <c r="B26" s="10">
        <v>21009.299435206689</v>
      </c>
      <c r="C26" s="7">
        <v>53613.580250859202</v>
      </c>
      <c r="D26" s="7">
        <v>-34407.487423155384</v>
      </c>
      <c r="E26" s="7">
        <v>0</v>
      </c>
      <c r="F26" s="17">
        <f t="shared" si="0"/>
        <v>40215.392262910507</v>
      </c>
      <c r="H26" s="4" t="s">
        <v>78</v>
      </c>
      <c r="I26" s="14">
        <f>SUM(I10:I16)-SUM(I19:I24)</f>
        <v>12749019.439999998</v>
      </c>
      <c r="K26" s="10">
        <v>1350000</v>
      </c>
      <c r="L26" s="7">
        <v>0</v>
      </c>
      <c r="M26" s="7"/>
      <c r="N26" s="7">
        <v>0</v>
      </c>
      <c r="O26" s="7">
        <v>0</v>
      </c>
      <c r="P26" s="7"/>
      <c r="Q26" s="7">
        <v>0</v>
      </c>
      <c r="R26" s="7">
        <v>0</v>
      </c>
      <c r="S26" s="7"/>
      <c r="T26" s="7">
        <v>0</v>
      </c>
      <c r="U26" s="17">
        <v>0</v>
      </c>
    </row>
    <row r="27" spans="1:21">
      <c r="A27" t="s">
        <v>21</v>
      </c>
      <c r="B27" s="10">
        <v>-17570.672723816795</v>
      </c>
      <c r="C27" s="7">
        <v>-15355.81057842778</v>
      </c>
      <c r="D27" s="7">
        <v>-1103.3378122450194</v>
      </c>
      <c r="E27" s="7">
        <v>0</v>
      </c>
      <c r="F27" s="17">
        <f t="shared" si="0"/>
        <v>-34029.82111448959</v>
      </c>
      <c r="H27" s="4" t="s">
        <v>79</v>
      </c>
      <c r="I27" s="14">
        <f>+F60</f>
        <v>12749019.440000001</v>
      </c>
      <c r="K27" s="10">
        <v>150000</v>
      </c>
      <c r="L27" s="7">
        <v>0</v>
      </c>
      <c r="M27" s="7"/>
      <c r="N27" s="7">
        <v>0</v>
      </c>
      <c r="O27" s="7">
        <v>0</v>
      </c>
      <c r="P27" s="7"/>
      <c r="Q27" s="7">
        <v>0</v>
      </c>
      <c r="R27" s="7">
        <v>0</v>
      </c>
      <c r="S27" s="7"/>
      <c r="T27" s="7">
        <v>0</v>
      </c>
      <c r="U27" s="17">
        <v>0</v>
      </c>
    </row>
    <row r="28" spans="1:21">
      <c r="A28" t="s">
        <v>22</v>
      </c>
      <c r="B28" s="10">
        <v>433843.41882315394</v>
      </c>
      <c r="C28" s="7">
        <v>788224.74845038727</v>
      </c>
      <c r="D28" s="7">
        <v>1330.7736016817435</v>
      </c>
      <c r="E28" s="7">
        <v>0</v>
      </c>
      <c r="F28" s="17">
        <f t="shared" si="0"/>
        <v>1223398.9408752229</v>
      </c>
      <c r="H28" s="23"/>
      <c r="I28" s="25"/>
      <c r="K28" s="10">
        <v>4690700</v>
      </c>
      <c r="L28" s="7">
        <v>2950000</v>
      </c>
      <c r="M28" s="7"/>
      <c r="N28" s="7">
        <v>4559300</v>
      </c>
      <c r="O28" s="7">
        <v>708000</v>
      </c>
      <c r="P28" s="7"/>
      <c r="Q28" s="7">
        <v>0</v>
      </c>
      <c r="R28" s="7">
        <v>0</v>
      </c>
      <c r="S28" s="7"/>
      <c r="T28" s="7">
        <v>0</v>
      </c>
      <c r="U28" s="17">
        <v>0</v>
      </c>
    </row>
    <row r="29" spans="1:21">
      <c r="A29" t="s">
        <v>23</v>
      </c>
      <c r="B29" s="10">
        <v>374133.83574554697</v>
      </c>
      <c r="C29" s="7">
        <v>1054568.0349492454</v>
      </c>
      <c r="D29" s="7">
        <v>5800.4713057052359</v>
      </c>
      <c r="E29" s="7">
        <v>0</v>
      </c>
      <c r="F29" s="17">
        <f t="shared" si="0"/>
        <v>1434502.3420004975</v>
      </c>
      <c r="K29" s="10">
        <v>3413000</v>
      </c>
      <c r="L29" s="7">
        <v>1670481</v>
      </c>
      <c r="M29" s="7"/>
      <c r="N29" s="7">
        <v>5537000</v>
      </c>
      <c r="O29" s="7">
        <v>2625507</v>
      </c>
      <c r="P29" s="7"/>
      <c r="Q29" s="7">
        <v>26500</v>
      </c>
      <c r="R29" s="7">
        <v>0</v>
      </c>
      <c r="S29" s="7"/>
      <c r="T29" s="7">
        <v>0</v>
      </c>
      <c r="U29" s="17">
        <v>0</v>
      </c>
    </row>
    <row r="30" spans="1:21">
      <c r="A30" t="s">
        <v>24</v>
      </c>
      <c r="B30" s="10">
        <v>4584.9503507934587</v>
      </c>
      <c r="C30" s="7">
        <v>15551.696167743085</v>
      </c>
      <c r="D30" s="7">
        <v>-33526.795019459445</v>
      </c>
      <c r="E30" s="7">
        <v>0</v>
      </c>
      <c r="F30" s="17">
        <f t="shared" si="0"/>
        <v>-13390.1485009229</v>
      </c>
      <c r="K30" s="10">
        <v>25000</v>
      </c>
      <c r="L30" s="7">
        <v>0</v>
      </c>
      <c r="M30" s="7"/>
      <c r="N30" s="7">
        <v>50000</v>
      </c>
      <c r="O30" s="7">
        <v>0</v>
      </c>
      <c r="P30" s="7"/>
      <c r="Q30" s="7">
        <v>161306</v>
      </c>
      <c r="R30" s="7">
        <v>0</v>
      </c>
      <c r="S30" s="7"/>
      <c r="T30" s="7">
        <v>0</v>
      </c>
      <c r="U30" s="17">
        <v>0</v>
      </c>
    </row>
    <row r="31" spans="1:21">
      <c r="A31" t="s">
        <v>25</v>
      </c>
      <c r="B31" s="10">
        <v>7688.2929019967269</v>
      </c>
      <c r="C31" s="7">
        <v>23363.649089773768</v>
      </c>
      <c r="D31" s="7">
        <v>-56201.871026265246</v>
      </c>
      <c r="E31" s="7">
        <v>0</v>
      </c>
      <c r="F31" s="17">
        <f t="shared" si="0"/>
        <v>-25149.929034494751</v>
      </c>
      <c r="K31" s="10">
        <v>0</v>
      </c>
      <c r="L31" s="7">
        <v>0</v>
      </c>
      <c r="M31" s="7"/>
      <c r="N31" s="7">
        <v>300000</v>
      </c>
      <c r="O31" s="7">
        <v>0</v>
      </c>
      <c r="P31" s="7"/>
      <c r="Q31" s="7">
        <v>0</v>
      </c>
      <c r="R31" s="7">
        <v>0</v>
      </c>
      <c r="S31" s="7"/>
      <c r="T31" s="7">
        <v>0</v>
      </c>
      <c r="U31" s="17">
        <v>0</v>
      </c>
    </row>
    <row r="32" spans="1:21">
      <c r="A32" t="s">
        <v>26</v>
      </c>
      <c r="B32" s="10">
        <v>-9914.5718803728196</v>
      </c>
      <c r="C32" s="7">
        <v>-266.97018388530614</v>
      </c>
      <c r="D32" s="7">
        <v>-195.69871031073924</v>
      </c>
      <c r="E32" s="7">
        <v>0</v>
      </c>
      <c r="F32" s="17">
        <f t="shared" si="0"/>
        <v>-10377.240774568865</v>
      </c>
      <c r="K32" s="10">
        <v>60000</v>
      </c>
      <c r="L32" s="7">
        <v>0</v>
      </c>
      <c r="M32" s="7"/>
      <c r="N32" s="7">
        <v>0</v>
      </c>
      <c r="O32" s="7">
        <v>0</v>
      </c>
      <c r="P32" s="7"/>
      <c r="Q32" s="7">
        <v>0</v>
      </c>
      <c r="R32" s="7">
        <v>0</v>
      </c>
      <c r="S32" s="7"/>
      <c r="T32" s="7">
        <v>0</v>
      </c>
      <c r="U32" s="17">
        <v>0</v>
      </c>
    </row>
    <row r="33" spans="1:21">
      <c r="A33" t="s">
        <v>27</v>
      </c>
      <c r="B33" s="10">
        <v>-322228.57538123429</v>
      </c>
      <c r="C33" s="7">
        <v>377050.24859923846</v>
      </c>
      <c r="D33" s="7">
        <v>-3388179.2980205286</v>
      </c>
      <c r="E33" s="7">
        <v>0</v>
      </c>
      <c r="F33" s="17">
        <f t="shared" si="0"/>
        <v>-3333357.6248025242</v>
      </c>
      <c r="K33" s="10">
        <v>492432</v>
      </c>
      <c r="L33" s="7">
        <v>0</v>
      </c>
      <c r="M33" s="7"/>
      <c r="N33" s="7">
        <v>0</v>
      </c>
      <c r="O33" s="7">
        <v>11100</v>
      </c>
      <c r="P33" s="7"/>
      <c r="Q33" s="7">
        <v>50000</v>
      </c>
      <c r="R33" s="7">
        <v>0</v>
      </c>
      <c r="S33" s="7"/>
      <c r="T33" s="7">
        <v>0</v>
      </c>
      <c r="U33" s="17">
        <v>0</v>
      </c>
    </row>
    <row r="34" spans="1:21">
      <c r="A34" t="s">
        <v>28</v>
      </c>
      <c r="B34" s="10">
        <v>-54496.32857112636</v>
      </c>
      <c r="C34" s="7">
        <v>-57734.091317734965</v>
      </c>
      <c r="D34" s="7">
        <v>-8550.0839035444915</v>
      </c>
      <c r="E34" s="7">
        <v>0</v>
      </c>
      <c r="F34" s="17">
        <f t="shared" si="0"/>
        <v>-120780.50379240583</v>
      </c>
      <c r="K34" s="10">
        <v>51500</v>
      </c>
      <c r="L34" s="7">
        <v>0</v>
      </c>
      <c r="M34" s="7"/>
      <c r="N34" s="7">
        <v>87200</v>
      </c>
      <c r="O34" s="7">
        <v>0</v>
      </c>
      <c r="P34" s="7"/>
      <c r="Q34" s="7">
        <v>0</v>
      </c>
      <c r="R34" s="7">
        <v>0</v>
      </c>
      <c r="S34" s="7"/>
      <c r="T34" s="7">
        <v>0</v>
      </c>
      <c r="U34" s="17">
        <v>0</v>
      </c>
    </row>
    <row r="35" spans="1:21">
      <c r="A35" t="s">
        <v>29</v>
      </c>
      <c r="B35" s="10">
        <v>-5535.7781842644581</v>
      </c>
      <c r="C35" s="7">
        <v>-8644.8714324094908</v>
      </c>
      <c r="D35" s="7">
        <v>-50.307555768290143</v>
      </c>
      <c r="E35" s="7">
        <v>0</v>
      </c>
      <c r="F35" s="17">
        <f t="shared" si="0"/>
        <v>-14230.957172442239</v>
      </c>
      <c r="K35" s="10">
        <v>50000</v>
      </c>
      <c r="L35" s="7">
        <v>0</v>
      </c>
      <c r="M35" s="7"/>
      <c r="N35" s="7">
        <v>50000</v>
      </c>
      <c r="O35" s="7">
        <v>0</v>
      </c>
      <c r="P35" s="7"/>
      <c r="Q35" s="7">
        <v>0</v>
      </c>
      <c r="R35" s="7">
        <v>0</v>
      </c>
      <c r="S35" s="7"/>
      <c r="T35" s="7">
        <v>0</v>
      </c>
      <c r="U35" s="17">
        <v>0</v>
      </c>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-30349.973352675086</v>
      </c>
      <c r="C37" s="7">
        <v>-16706.35759870732</v>
      </c>
      <c r="D37" s="7">
        <v>-28918.743174450752</v>
      </c>
      <c r="E37" s="7">
        <v>0</v>
      </c>
      <c r="F37" s="17">
        <f t="shared" si="0"/>
        <v>-75975.074125833155</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-31844.269838817214</v>
      </c>
      <c r="C39" s="7">
        <v>-39673.391365276533</v>
      </c>
      <c r="D39" s="7">
        <v>-1098.9168011591432</v>
      </c>
      <c r="E39" s="7">
        <v>0</v>
      </c>
      <c r="F39" s="17">
        <f t="shared" si="1"/>
        <v>-72616.578005252886</v>
      </c>
      <c r="K39" s="10">
        <v>350000</v>
      </c>
      <c r="L39" s="7">
        <v>289750</v>
      </c>
      <c r="M39" s="7"/>
      <c r="N39" s="7">
        <v>250000</v>
      </c>
      <c r="O39" s="7">
        <v>235250</v>
      </c>
      <c r="P39" s="7"/>
      <c r="Q39" s="7">
        <v>0</v>
      </c>
      <c r="R39" s="7">
        <v>0</v>
      </c>
      <c r="S39" s="7"/>
      <c r="T39" s="7">
        <v>0</v>
      </c>
      <c r="U39" s="17">
        <v>0</v>
      </c>
    </row>
    <row r="40" spans="1:21">
      <c r="A40" t="s">
        <v>34</v>
      </c>
      <c r="B40" s="10">
        <v>-65540.59782866342</v>
      </c>
      <c r="C40" s="7">
        <v>-44508.222940993583</v>
      </c>
      <c r="D40" s="7">
        <v>-1455.7056663579333</v>
      </c>
      <c r="E40" s="7">
        <v>0</v>
      </c>
      <c r="F40" s="17">
        <f t="shared" si="1"/>
        <v>-111504.52643601493</v>
      </c>
      <c r="K40" s="10">
        <v>96400</v>
      </c>
      <c r="L40" s="7">
        <v>0</v>
      </c>
      <c r="M40" s="7"/>
      <c r="N40" s="7">
        <v>147500</v>
      </c>
      <c r="O40" s="7">
        <v>0</v>
      </c>
      <c r="P40" s="7"/>
      <c r="Q40" s="7">
        <v>0</v>
      </c>
      <c r="R40" s="7">
        <v>0</v>
      </c>
      <c r="S40" s="7"/>
      <c r="T40" s="7">
        <v>66890</v>
      </c>
      <c r="U40" s="17">
        <v>0</v>
      </c>
    </row>
    <row r="41" spans="1:21">
      <c r="A41" t="s">
        <v>35</v>
      </c>
      <c r="B41" s="10">
        <v>168931.80068267533</v>
      </c>
      <c r="C41" s="7">
        <v>483601.73165137786</v>
      </c>
      <c r="D41" s="7">
        <v>3375.7497079169189</v>
      </c>
      <c r="E41" s="7">
        <v>11111.428171714739</v>
      </c>
      <c r="F41" s="17">
        <f t="shared" si="1"/>
        <v>667020.71021368483</v>
      </c>
      <c r="K41" s="10">
        <v>4860000</v>
      </c>
      <c r="L41" s="7">
        <v>0</v>
      </c>
      <c r="M41" s="7"/>
      <c r="N41" s="7">
        <v>8640000</v>
      </c>
      <c r="O41" s="7">
        <v>0</v>
      </c>
      <c r="P41" s="7"/>
      <c r="Q41" s="7">
        <v>0</v>
      </c>
      <c r="R41" s="7">
        <v>0</v>
      </c>
      <c r="S41" s="7"/>
      <c r="T41" s="7">
        <v>0</v>
      </c>
      <c r="U41" s="17">
        <v>0</v>
      </c>
    </row>
    <row r="42" spans="1:21">
      <c r="A42" t="s">
        <v>36</v>
      </c>
      <c r="B42" s="10">
        <v>-83981.027422216139</v>
      </c>
      <c r="C42" s="7">
        <v>-126178.1571549311</v>
      </c>
      <c r="D42" s="7">
        <v>-408725.12713448203</v>
      </c>
      <c r="E42" s="7">
        <v>0</v>
      </c>
      <c r="F42" s="17">
        <f t="shared" si="1"/>
        <v>-618884.31171162927</v>
      </c>
      <c r="K42" s="10">
        <v>666000</v>
      </c>
      <c r="L42" s="7">
        <v>432900</v>
      </c>
      <c r="M42" s="7"/>
      <c r="N42" s="7">
        <v>721000</v>
      </c>
      <c r="O42" s="7">
        <v>468000</v>
      </c>
      <c r="P42" s="7"/>
      <c r="Q42" s="7">
        <v>414000</v>
      </c>
      <c r="R42" s="7">
        <v>269100</v>
      </c>
      <c r="S42" s="7"/>
      <c r="T42" s="7">
        <v>0</v>
      </c>
      <c r="U42" s="17">
        <v>0</v>
      </c>
    </row>
    <row r="43" spans="1:21">
      <c r="A43" t="s">
        <v>37</v>
      </c>
      <c r="B43" s="10">
        <v>-5425.7083172968996</v>
      </c>
      <c r="C43" s="7">
        <v>-20329.699085088272</v>
      </c>
      <c r="D43" s="7">
        <v>-20.972881656269237</v>
      </c>
      <c r="E43" s="7">
        <v>0</v>
      </c>
      <c r="F43" s="17">
        <f t="shared" si="1"/>
        <v>-25776.380284041443</v>
      </c>
      <c r="K43" s="10">
        <v>166015</v>
      </c>
      <c r="L43" s="7">
        <v>0</v>
      </c>
      <c r="M43" s="7"/>
      <c r="N43" s="7">
        <v>738136</v>
      </c>
      <c r="O43" s="7">
        <v>0</v>
      </c>
      <c r="P43" s="7"/>
      <c r="Q43" s="7">
        <v>0</v>
      </c>
      <c r="R43" s="7">
        <v>0</v>
      </c>
      <c r="S43" s="7"/>
      <c r="T43" s="7">
        <v>0</v>
      </c>
      <c r="U43" s="17">
        <v>0</v>
      </c>
    </row>
    <row r="44" spans="1:21">
      <c r="A44" t="s">
        <v>38</v>
      </c>
      <c r="B44" s="10">
        <v>295548.58745540772</v>
      </c>
      <c r="C44" s="7">
        <v>1019000.3139399746</v>
      </c>
      <c r="D44" s="7">
        <v>6661.3681098937886</v>
      </c>
      <c r="E44" s="7">
        <v>0</v>
      </c>
      <c r="F44" s="17">
        <f t="shared" si="1"/>
        <v>1321210.2695052761</v>
      </c>
      <c r="K44" s="10">
        <v>2700000</v>
      </c>
      <c r="L44" s="7">
        <v>0</v>
      </c>
      <c r="M44" s="7"/>
      <c r="N44" s="7">
        <v>8300000</v>
      </c>
      <c r="O44" s="7">
        <v>0</v>
      </c>
      <c r="P44" s="7"/>
      <c r="Q44" s="7">
        <v>0</v>
      </c>
      <c r="R44" s="7">
        <v>0</v>
      </c>
      <c r="S44" s="7"/>
      <c r="T44" s="7">
        <v>0</v>
      </c>
      <c r="U44" s="17">
        <v>0</v>
      </c>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57240.810950612358</v>
      </c>
      <c r="C47" s="7">
        <v>19744.548262053155</v>
      </c>
      <c r="D47" s="7">
        <v>-505.21095695624842</v>
      </c>
      <c r="E47" s="7">
        <v>0</v>
      </c>
      <c r="F47" s="17">
        <f t="shared" si="1"/>
        <v>76480.148255709268</v>
      </c>
      <c r="K47" s="10">
        <v>519500</v>
      </c>
      <c r="L47" s="7">
        <v>0</v>
      </c>
      <c r="M47" s="7"/>
      <c r="N47" s="7">
        <v>80500</v>
      </c>
      <c r="O47" s="7">
        <v>0</v>
      </c>
      <c r="P47" s="7"/>
      <c r="Q47" s="7">
        <v>0</v>
      </c>
      <c r="R47" s="7">
        <v>0</v>
      </c>
      <c r="S47" s="7"/>
      <c r="T47" s="7">
        <v>0</v>
      </c>
      <c r="U47" s="17">
        <v>0</v>
      </c>
    </row>
    <row r="48" spans="1:21">
      <c r="A48" t="s">
        <v>42</v>
      </c>
      <c r="B48" s="10">
        <v>56796.177516559837</v>
      </c>
      <c r="C48" s="7">
        <v>93295.336816680501</v>
      </c>
      <c r="D48" s="7">
        <v>2156.4821371841026</v>
      </c>
      <c r="E48" s="7">
        <v>0</v>
      </c>
      <c r="F48" s="17">
        <f t="shared" si="1"/>
        <v>152247.99647042443</v>
      </c>
      <c r="K48" s="10">
        <v>342154</v>
      </c>
      <c r="L48" s="7">
        <v>0</v>
      </c>
      <c r="M48" s="7"/>
      <c r="N48" s="7">
        <v>692351</v>
      </c>
      <c r="O48" s="7">
        <v>528151</v>
      </c>
      <c r="P48" s="7"/>
      <c r="Q48" s="7">
        <v>57868</v>
      </c>
      <c r="R48" s="7">
        <v>0</v>
      </c>
      <c r="S48" s="7"/>
      <c r="T48" s="7">
        <v>0</v>
      </c>
      <c r="U48" s="17">
        <v>0</v>
      </c>
    </row>
    <row r="49" spans="1:21">
      <c r="A49" t="s">
        <v>43</v>
      </c>
      <c r="B49" s="10">
        <v>25184.967151635909</v>
      </c>
      <c r="C49" s="7">
        <v>45648.852504483773</v>
      </c>
      <c r="D49" s="7">
        <v>-7820.606093571273</v>
      </c>
      <c r="E49" s="7">
        <v>0</v>
      </c>
      <c r="F49" s="17">
        <f t="shared" si="1"/>
        <v>63013.213562548408</v>
      </c>
      <c r="K49" s="10">
        <v>375000</v>
      </c>
      <c r="L49" s="7">
        <v>0</v>
      </c>
      <c r="M49" s="7"/>
      <c r="N49" s="7">
        <v>600000</v>
      </c>
      <c r="O49" s="7">
        <v>0</v>
      </c>
      <c r="P49" s="7"/>
      <c r="Q49" s="7">
        <v>0</v>
      </c>
      <c r="R49" s="7">
        <v>0</v>
      </c>
      <c r="S49" s="7"/>
      <c r="T49" s="7">
        <v>0</v>
      </c>
      <c r="U49" s="17">
        <v>0</v>
      </c>
    </row>
    <row r="50" spans="1:21">
      <c r="A50" t="s">
        <v>44</v>
      </c>
      <c r="B50" s="10">
        <v>101652.64451082837</v>
      </c>
      <c r="C50" s="7">
        <v>71650.22328481829</v>
      </c>
      <c r="D50" s="7">
        <v>-2249574.7708061943</v>
      </c>
      <c r="E50" s="7">
        <v>12349.265491011553</v>
      </c>
      <c r="F50" s="17">
        <f t="shared" si="1"/>
        <v>-2063922.6375195361</v>
      </c>
      <c r="K50" s="10">
        <v>2050596</v>
      </c>
      <c r="L50" s="7">
        <v>1352869.3488</v>
      </c>
      <c r="M50" s="7"/>
      <c r="N50" s="7">
        <v>53829</v>
      </c>
      <c r="O50" s="7">
        <v>35582.820800000001</v>
      </c>
      <c r="P50" s="7"/>
      <c r="Q50" s="7">
        <v>2245379</v>
      </c>
      <c r="R50" s="7">
        <v>1481437.8303999999</v>
      </c>
      <c r="S50" s="7"/>
      <c r="T50" s="7">
        <v>0</v>
      </c>
      <c r="U50" s="17">
        <v>0</v>
      </c>
    </row>
    <row r="51" spans="1:21">
      <c r="A51" t="s">
        <v>45</v>
      </c>
      <c r="B51" s="10">
        <v>-26785.98261796985</v>
      </c>
      <c r="C51" s="7">
        <v>-3914.6867903796465</v>
      </c>
      <c r="D51" s="7">
        <v>0</v>
      </c>
      <c r="E51" s="7">
        <v>0</v>
      </c>
      <c r="F51" s="17">
        <f t="shared" si="1"/>
        <v>-30700.669408349495</v>
      </c>
      <c r="K51" s="10">
        <v>23475</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169443.78757152962</v>
      </c>
      <c r="C53" s="7">
        <v>791129.30587515142</v>
      </c>
      <c r="D53" s="7">
        <v>168.19803216456307</v>
      </c>
      <c r="E53" s="7">
        <v>0</v>
      </c>
      <c r="F53" s="17">
        <f t="shared" si="1"/>
        <v>960741.29147884564</v>
      </c>
      <c r="K53" s="10">
        <v>2600000</v>
      </c>
      <c r="L53" s="7">
        <v>1639270</v>
      </c>
      <c r="M53" s="7"/>
      <c r="N53" s="7">
        <v>8600000</v>
      </c>
      <c r="O53" s="7">
        <v>12272233</v>
      </c>
      <c r="P53" s="7"/>
      <c r="Q53" s="7">
        <v>25500</v>
      </c>
      <c r="R53" s="7">
        <v>0</v>
      </c>
      <c r="S53" s="7"/>
      <c r="T53" s="7">
        <v>0</v>
      </c>
      <c r="U53" s="17">
        <v>0</v>
      </c>
    </row>
    <row r="54" spans="1:21">
      <c r="A54" t="s">
        <v>48</v>
      </c>
      <c r="B54" s="10">
        <v>29398.708283120126</v>
      </c>
      <c r="C54" s="7">
        <v>150170.07046563469</v>
      </c>
      <c r="D54" s="7">
        <v>258.50339480716548</v>
      </c>
      <c r="E54" s="7">
        <v>693.2185159581295</v>
      </c>
      <c r="F54" s="17">
        <f t="shared" si="1"/>
        <v>180520.50065952013</v>
      </c>
      <c r="K54" s="10">
        <v>250000</v>
      </c>
      <c r="L54" s="7">
        <v>298366</v>
      </c>
      <c r="M54" s="7"/>
      <c r="N54" s="7">
        <v>700000</v>
      </c>
      <c r="O54" s="7">
        <v>396051</v>
      </c>
      <c r="P54" s="7"/>
      <c r="Q54" s="7">
        <v>0</v>
      </c>
      <c r="R54" s="7">
        <v>0</v>
      </c>
      <c r="S54" s="7"/>
      <c r="T54" s="7">
        <v>0</v>
      </c>
      <c r="U54" s="17">
        <v>0</v>
      </c>
    </row>
    <row r="55" spans="1:21">
      <c r="A55" t="s">
        <v>49</v>
      </c>
      <c r="B55" s="10">
        <v>7639.5090660635906</v>
      </c>
      <c r="C55" s="7">
        <v>17192.461548212304</v>
      </c>
      <c r="D55" s="7">
        <v>0</v>
      </c>
      <c r="E55" s="7">
        <v>0</v>
      </c>
      <c r="F55" s="17">
        <f t="shared" si="1"/>
        <v>24831.970614275895</v>
      </c>
      <c r="K55" s="10">
        <v>332438</v>
      </c>
      <c r="L55" s="7">
        <v>235821</v>
      </c>
      <c r="M55" s="7"/>
      <c r="N55" s="7">
        <v>4165</v>
      </c>
      <c r="O55" s="7">
        <v>4869</v>
      </c>
      <c r="P55" s="7"/>
      <c r="Q55" s="7">
        <v>79887</v>
      </c>
      <c r="R55" s="7">
        <v>100588</v>
      </c>
      <c r="S55" s="7"/>
      <c r="T55" s="7">
        <v>0</v>
      </c>
      <c r="U55" s="17">
        <v>0</v>
      </c>
    </row>
    <row r="56" spans="1:21">
      <c r="A56" t="s">
        <v>50</v>
      </c>
      <c r="B56" s="10">
        <v>4366.1501292243338</v>
      </c>
      <c r="C56" s="7">
        <v>4445.5492184586619</v>
      </c>
      <c r="D56" s="7">
        <v>847.48204688589612</v>
      </c>
      <c r="E56" s="7">
        <v>0</v>
      </c>
      <c r="F56" s="17">
        <f t="shared" si="1"/>
        <v>9659.1813945688918</v>
      </c>
      <c r="K56" s="10">
        <v>180000</v>
      </c>
      <c r="L56" s="7">
        <v>0</v>
      </c>
      <c r="M56" s="7"/>
      <c r="N56" s="7">
        <v>80000</v>
      </c>
      <c r="O56" s="7">
        <v>0</v>
      </c>
      <c r="P56" s="7"/>
      <c r="Q56" s="7">
        <v>0</v>
      </c>
      <c r="R56" s="7">
        <v>0</v>
      </c>
      <c r="S56" s="7"/>
      <c r="T56" s="7">
        <v>0</v>
      </c>
      <c r="U56" s="17">
        <v>0</v>
      </c>
    </row>
    <row r="57" spans="1:21">
      <c r="A57" t="s">
        <v>51</v>
      </c>
      <c r="B57" s="10">
        <v>9796.0596186923976</v>
      </c>
      <c r="C57" s="7">
        <v>17732.863939717594</v>
      </c>
      <c r="D57" s="7">
        <v>0</v>
      </c>
      <c r="E57" s="7">
        <v>0</v>
      </c>
      <c r="F57" s="17">
        <f t="shared" si="1"/>
        <v>27528.923558409992</v>
      </c>
      <c r="K57" s="10">
        <v>0</v>
      </c>
      <c r="L57" s="7">
        <v>389762</v>
      </c>
      <c r="M57" s="7"/>
      <c r="N57" s="7">
        <v>0</v>
      </c>
      <c r="O57" s="7">
        <v>389761</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3122403.5177147151</v>
      </c>
      <c r="C60" s="7">
        <f>SUM(C6:C58)</f>
        <v>11262883.437607286</v>
      </c>
      <c r="D60" s="7">
        <f>SUM(D6:D58)</f>
        <v>-6419739.3462788956</v>
      </c>
      <c r="E60" s="7">
        <f>SUM(E6:E58)</f>
        <v>4783471.830956893</v>
      </c>
      <c r="F60" s="17">
        <f>SUM(F6:F58)</f>
        <v>12749019.440000001</v>
      </c>
      <c r="K60" s="10">
        <f>SUM(K6:K58)</f>
        <v>53434308</v>
      </c>
      <c r="L60" s="7">
        <f>SUM(L6:L58)</f>
        <v>16260675.3488</v>
      </c>
      <c r="M60" s="7"/>
      <c r="N60" s="7">
        <f>SUM(N6:N58)</f>
        <v>117647747</v>
      </c>
      <c r="O60" s="7">
        <f>SUM(O6:O58)</f>
        <v>23197622.820799999</v>
      </c>
      <c r="P60" s="7"/>
      <c r="Q60" s="7">
        <f>SUM(Q6:Q58)</f>
        <v>3972146</v>
      </c>
      <c r="R60" s="7">
        <f>SUM(R6:R58)</f>
        <v>2032125.8303999999</v>
      </c>
      <c r="S60" s="7"/>
      <c r="T60" s="7">
        <f>SUM(T6:T58)</f>
        <v>96890</v>
      </c>
      <c r="U60" s="17">
        <f>SUM(U6:U58)</f>
        <v>84000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Italic"Mutual Security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33717.259216786631</v>
      </c>
      <c r="C6" s="7">
        <v>0</v>
      </c>
      <c r="D6" s="7">
        <v>3510.8615212016211</v>
      </c>
      <c r="E6" s="7">
        <v>0</v>
      </c>
      <c r="F6" s="17">
        <f t="shared" ref="F6:F37" si="0">SUM(B6:E6)</f>
        <v>37228.120737988254</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3559238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6291</v>
      </c>
      <c r="K13" s="10"/>
      <c r="L13" s="7"/>
      <c r="M13" s="7"/>
      <c r="N13" s="7"/>
      <c r="O13" s="7"/>
      <c r="P13" s="7"/>
      <c r="Q13" s="7"/>
      <c r="R13" s="7"/>
      <c r="S13" s="7"/>
      <c r="T13" s="7"/>
      <c r="U13" s="17"/>
    </row>
    <row r="14" spans="1:21">
      <c r="A14" t="s">
        <v>8</v>
      </c>
      <c r="B14" s="10">
        <v>30593.169986347042</v>
      </c>
      <c r="C14" s="7">
        <v>0</v>
      </c>
      <c r="D14" s="7">
        <v>0</v>
      </c>
      <c r="E14" s="7">
        <v>0</v>
      </c>
      <c r="F14" s="17">
        <f t="shared" si="0"/>
        <v>30593.169986347042</v>
      </c>
      <c r="H14" s="4" t="s">
        <v>68</v>
      </c>
      <c r="I14" s="14">
        <v>260012.00000000003</v>
      </c>
      <c r="K14" s="10">
        <v>51000</v>
      </c>
      <c r="L14" s="7">
        <v>18927</v>
      </c>
      <c r="M14" s="7"/>
      <c r="N14" s="7">
        <v>0</v>
      </c>
      <c r="O14" s="7">
        <v>0</v>
      </c>
      <c r="P14" s="7"/>
      <c r="Q14" s="7">
        <v>0</v>
      </c>
      <c r="R14" s="7">
        <v>1257</v>
      </c>
      <c r="S14" s="7"/>
      <c r="T14" s="7">
        <v>0</v>
      </c>
      <c r="U14" s="17">
        <v>0</v>
      </c>
    </row>
    <row r="15" spans="1:21">
      <c r="A15" t="s">
        <v>9</v>
      </c>
      <c r="B15" s="10">
        <v>55213.392423905869</v>
      </c>
      <c r="C15" s="7">
        <v>59.484217619927023</v>
      </c>
      <c r="D15" s="7">
        <v>0</v>
      </c>
      <c r="E15" s="7">
        <v>0</v>
      </c>
      <c r="F15" s="17">
        <f t="shared" si="0"/>
        <v>55272.876641525792</v>
      </c>
      <c r="H15" s="4" t="s">
        <v>69</v>
      </c>
      <c r="I15" s="14">
        <v>399992.01000000007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809429</v>
      </c>
      <c r="K19" s="10"/>
      <c r="L19" s="7"/>
      <c r="M19" s="7"/>
      <c r="N19" s="7"/>
      <c r="O19" s="7"/>
      <c r="P19" s="7"/>
      <c r="Q19" s="7"/>
      <c r="R19" s="7"/>
      <c r="S19" s="7"/>
      <c r="T19" s="7"/>
      <c r="U19" s="17"/>
    </row>
    <row r="20" spans="1:21">
      <c r="A20" t="s">
        <v>14</v>
      </c>
      <c r="B20" s="10">
        <v>1607.3063355098202</v>
      </c>
      <c r="C20" s="7">
        <v>0</v>
      </c>
      <c r="D20" s="7">
        <v>271.16728617873969</v>
      </c>
      <c r="E20" s="7">
        <v>0</v>
      </c>
      <c r="F20" s="17">
        <f t="shared" si="0"/>
        <v>1878.4736216885599</v>
      </c>
      <c r="H20" s="4" t="s">
        <v>73</v>
      </c>
      <c r="I20" s="14">
        <v>-5909.8728585120343</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355362</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721228.7535584108</v>
      </c>
      <c r="C24" s="7">
        <v>112942.16392465866</v>
      </c>
      <c r="D24" s="7">
        <v>1392.8836890474588</v>
      </c>
      <c r="E24" s="7">
        <v>0</v>
      </c>
      <c r="F24" s="17">
        <f t="shared" si="0"/>
        <v>835563.80117211689</v>
      </c>
      <c r="H24" s="4" t="s">
        <v>77</v>
      </c>
      <c r="I24" s="14">
        <v>1757175.0000000002</v>
      </c>
      <c r="K24" s="10">
        <v>1022989</v>
      </c>
      <c r="L24" s="7">
        <v>0</v>
      </c>
      <c r="M24" s="7"/>
      <c r="N24" s="7">
        <v>35389</v>
      </c>
      <c r="O24" s="7">
        <v>0</v>
      </c>
      <c r="P24" s="7"/>
      <c r="Q24" s="7">
        <v>587622</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75585.602930387337</v>
      </c>
      <c r="C26" s="7">
        <v>24.241484206266367</v>
      </c>
      <c r="D26" s="7">
        <v>288.93228472874239</v>
      </c>
      <c r="E26" s="7">
        <v>0</v>
      </c>
      <c r="F26" s="17">
        <f t="shared" si="0"/>
        <v>75898.776699322349</v>
      </c>
      <c r="H26" s="4" t="s">
        <v>78</v>
      </c>
      <c r="I26" s="14">
        <f>SUM(I10:I16)-SUM(I19:I24)</f>
        <v>1309476.8828585115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1309476.8828585122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7537.9535891746646</v>
      </c>
      <c r="C30" s="7">
        <v>1753.9127736650316</v>
      </c>
      <c r="D30" s="7">
        <v>1539.3488092099378</v>
      </c>
      <c r="E30" s="7">
        <v>0</v>
      </c>
      <c r="F30" s="17">
        <f t="shared" si="0"/>
        <v>10831.215172049635</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-1012</v>
      </c>
      <c r="C32" s="7">
        <v>0</v>
      </c>
      <c r="D32" s="7">
        <v>0</v>
      </c>
      <c r="E32" s="7">
        <v>0</v>
      </c>
      <c r="F32" s="17">
        <f t="shared" si="0"/>
        <v>-1012</v>
      </c>
      <c r="K32" s="10"/>
      <c r="L32" s="7"/>
      <c r="M32" s="7"/>
      <c r="N32" s="7"/>
      <c r="O32" s="7"/>
      <c r="P32" s="7"/>
      <c r="Q32" s="7"/>
      <c r="R32" s="7"/>
      <c r="S32" s="7"/>
      <c r="T32" s="7"/>
      <c r="U32" s="17"/>
    </row>
    <row r="33" spans="1:21">
      <c r="A33" t="s">
        <v>27</v>
      </c>
      <c r="B33" s="10">
        <v>5279.5174964891376</v>
      </c>
      <c r="C33" s="7">
        <v>0</v>
      </c>
      <c r="D33" s="7">
        <v>0</v>
      </c>
      <c r="E33" s="7">
        <v>0</v>
      </c>
      <c r="F33" s="17">
        <f t="shared" si="0"/>
        <v>5279.5174964891376</v>
      </c>
      <c r="K33" s="10"/>
      <c r="L33" s="7"/>
      <c r="M33" s="7"/>
      <c r="N33" s="7"/>
      <c r="O33" s="7"/>
      <c r="P33" s="7"/>
      <c r="Q33" s="7"/>
      <c r="R33" s="7"/>
      <c r="S33" s="7"/>
      <c r="T33" s="7"/>
      <c r="U33" s="17"/>
    </row>
    <row r="34" spans="1:21">
      <c r="A34" t="s">
        <v>28</v>
      </c>
      <c r="B34" s="10">
        <v>-1559</v>
      </c>
      <c r="C34" s="7">
        <v>0</v>
      </c>
      <c r="D34" s="7">
        <v>0</v>
      </c>
      <c r="E34" s="7">
        <v>0</v>
      </c>
      <c r="F34" s="17">
        <f t="shared" si="0"/>
        <v>-1559</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65808.128350997751</v>
      </c>
      <c r="C37" s="7">
        <v>0</v>
      </c>
      <c r="D37" s="7">
        <v>2480.0219190135103</v>
      </c>
      <c r="E37" s="7">
        <v>0</v>
      </c>
      <c r="F37" s="17">
        <f t="shared" si="0"/>
        <v>68288.150270011261</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2488.0353973356869</v>
      </c>
      <c r="C42" s="7">
        <v>0</v>
      </c>
      <c r="D42" s="7">
        <v>0</v>
      </c>
      <c r="E42" s="7">
        <v>0</v>
      </c>
      <c r="F42" s="17">
        <f t="shared" si="1"/>
        <v>2488.0353973356869</v>
      </c>
      <c r="K42" s="10">
        <v>31000</v>
      </c>
      <c r="L42" s="7">
        <v>0</v>
      </c>
      <c r="M42" s="7"/>
      <c r="N42" s="7">
        <v>0</v>
      </c>
      <c r="O42" s="7">
        <v>0</v>
      </c>
      <c r="P42" s="7"/>
      <c r="Q42" s="7">
        <v>19000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197427.27344648656</v>
      </c>
      <c r="C47" s="7">
        <v>0</v>
      </c>
      <c r="D47" s="7">
        <v>0</v>
      </c>
      <c r="E47" s="7">
        <v>0</v>
      </c>
      <c r="F47" s="17">
        <f t="shared" si="1"/>
        <v>197427.27344648656</v>
      </c>
      <c r="K47" s="10"/>
      <c r="L47" s="7"/>
      <c r="M47" s="7"/>
      <c r="N47" s="7"/>
      <c r="O47" s="7"/>
      <c r="P47" s="7"/>
      <c r="Q47" s="7"/>
      <c r="R47" s="7"/>
      <c r="S47" s="7"/>
      <c r="T47" s="7"/>
      <c r="U47" s="17"/>
    </row>
    <row r="48" spans="1:21">
      <c r="A48" t="s">
        <v>42</v>
      </c>
      <c r="B48" s="10">
        <v>-39798</v>
      </c>
      <c r="C48" s="7">
        <v>0</v>
      </c>
      <c r="D48" s="7">
        <v>0</v>
      </c>
      <c r="E48" s="7">
        <v>0</v>
      </c>
      <c r="F48" s="17">
        <f t="shared" si="1"/>
        <v>-39798</v>
      </c>
      <c r="K48" s="10"/>
      <c r="L48" s="7"/>
      <c r="M48" s="7"/>
      <c r="N48" s="7"/>
      <c r="O48" s="7"/>
      <c r="P48" s="7"/>
      <c r="Q48" s="7"/>
      <c r="R48" s="7"/>
      <c r="S48" s="7"/>
      <c r="T48" s="7"/>
      <c r="U48" s="17"/>
    </row>
    <row r="49" spans="1:21">
      <c r="A49" t="s">
        <v>43</v>
      </c>
      <c r="B49" s="10">
        <v>8395.0457759443671</v>
      </c>
      <c r="C49" s="7">
        <v>6409.8327495304802</v>
      </c>
      <c r="D49" s="7">
        <v>0</v>
      </c>
      <c r="E49" s="7">
        <v>0</v>
      </c>
      <c r="F49" s="17">
        <f t="shared" si="1"/>
        <v>14804.878525474847</v>
      </c>
      <c r="K49" s="10"/>
      <c r="L49" s="7"/>
      <c r="M49" s="7"/>
      <c r="N49" s="7"/>
      <c r="O49" s="7"/>
      <c r="P49" s="7"/>
      <c r="Q49" s="7"/>
      <c r="R49" s="7"/>
      <c r="S49" s="7"/>
      <c r="T49" s="7"/>
      <c r="U49" s="17"/>
    </row>
    <row r="50" spans="1:21">
      <c r="A50" t="s">
        <v>44</v>
      </c>
      <c r="B50" s="10">
        <v>17746.593691676127</v>
      </c>
      <c r="C50" s="7">
        <v>0</v>
      </c>
      <c r="D50" s="7">
        <v>0</v>
      </c>
      <c r="E50" s="7">
        <v>0</v>
      </c>
      <c r="F50" s="17">
        <f t="shared" si="1"/>
        <v>17746.593691676127</v>
      </c>
      <c r="K50" s="10">
        <v>40003</v>
      </c>
      <c r="L50" s="7">
        <v>22198</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-1455</v>
      </c>
      <c r="C57" s="7">
        <v>0</v>
      </c>
      <c r="D57" s="7">
        <v>0</v>
      </c>
      <c r="E57" s="7">
        <v>0</v>
      </c>
      <c r="F57" s="17">
        <f t="shared" si="1"/>
        <v>-1455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1178804.0321994517</v>
      </c>
      <c r="C60" s="7">
        <f>SUM(C6:C58)</f>
        <v>121189.63514968037</v>
      </c>
      <c r="D60" s="7">
        <f>SUM(D6:D58)</f>
        <v>9483.2155093800102</v>
      </c>
      <c r="E60" s="7">
        <f>SUM(E6:E58)</f>
        <v>0</v>
      </c>
      <c r="F60" s="17">
        <f>SUM(F6:F58)</f>
        <v>1309476.8828585122</v>
      </c>
      <c r="K60" s="10">
        <f>SUM(K6:K58)</f>
        <v>1144992</v>
      </c>
      <c r="L60" s="7">
        <f>SUM(L6:L58)</f>
        <v>41125</v>
      </c>
      <c r="M60" s="7"/>
      <c r="N60" s="7">
        <f>SUM(N6:N58)</f>
        <v>35389</v>
      </c>
      <c r="O60" s="7">
        <f>SUM(O6:O58)</f>
        <v>0</v>
      </c>
      <c r="P60" s="7"/>
      <c r="Q60" s="7">
        <f>SUM(Q6:Q58)</f>
        <v>606622</v>
      </c>
      <c r="R60" s="7">
        <f>SUM(R6:R58)</f>
        <v>1257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Affiliated Investors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100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12104.093020509361</v>
      </c>
      <c r="D6" s="7">
        <v>0</v>
      </c>
      <c r="E6" s="7">
        <v>0</v>
      </c>
      <c r="F6" s="17">
        <f t="shared" ref="F6:F37" si="0">SUM(B6:E6)</f>
        <v>12104.093020509361</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743715.93185221334</v>
      </c>
      <c r="D8" s="7">
        <v>0</v>
      </c>
      <c r="E8" s="7">
        <v>0</v>
      </c>
      <c r="F8" s="17">
        <f t="shared" si="0"/>
        <v>743715.93185221334</v>
      </c>
      <c r="H8" s="4" t="s">
        <v>64</v>
      </c>
      <c r="I8" s="13"/>
      <c r="K8" s="10">
        <v>0</v>
      </c>
      <c r="L8" s="7">
        <v>0</v>
      </c>
      <c r="M8" s="7"/>
      <c r="N8" s="7">
        <v>644884</v>
      </c>
      <c r="O8" s="7">
        <v>0</v>
      </c>
      <c r="P8" s="7"/>
      <c r="Q8" s="7">
        <v>0</v>
      </c>
      <c r="R8" s="7">
        <v>0</v>
      </c>
      <c r="S8" s="7"/>
      <c r="T8" s="7">
        <v>0</v>
      </c>
      <c r="U8" s="17">
        <v>0</v>
      </c>
    </row>
    <row r="9" spans="1:21">
      <c r="A9" t="s">
        <v>3</v>
      </c>
      <c r="B9" s="10">
        <v>0</v>
      </c>
      <c r="C9" s="7">
        <v>187089.42994796703</v>
      </c>
      <c r="D9" s="7">
        <v>0</v>
      </c>
      <c r="E9" s="7">
        <v>0</v>
      </c>
      <c r="F9" s="17">
        <f t="shared" si="0"/>
        <v>187089.42994796703</v>
      </c>
      <c r="H9" s="4"/>
      <c r="I9" s="13"/>
      <c r="K9" s="10">
        <v>123926</v>
      </c>
      <c r="L9" s="7">
        <v>0</v>
      </c>
      <c r="M9" s="7"/>
      <c r="N9" s="7">
        <v>0</v>
      </c>
      <c r="O9" s="7">
        <v>0</v>
      </c>
      <c r="P9" s="7"/>
      <c r="Q9" s="7">
        <v>0</v>
      </c>
      <c r="R9" s="7">
        <v>0</v>
      </c>
      <c r="S9" s="7"/>
      <c r="T9" s="7">
        <v>0</v>
      </c>
      <c r="U9" s="17">
        <v>0</v>
      </c>
    </row>
    <row r="10" spans="1:21">
      <c r="A10" t="s">
        <v>4</v>
      </c>
      <c r="B10" s="10">
        <v>592.42260489873513</v>
      </c>
      <c r="C10" s="7">
        <v>3742149.3773136931</v>
      </c>
      <c r="D10" s="7">
        <v>3234.0984059027132</v>
      </c>
      <c r="E10" s="7">
        <v>0</v>
      </c>
      <c r="F10" s="17">
        <f t="shared" si="0"/>
        <v>3745975.8983244947</v>
      </c>
      <c r="H10" s="4" t="s">
        <v>65</v>
      </c>
      <c r="I10" s="14">
        <v>110355316</v>
      </c>
      <c r="K10" s="10">
        <v>97750</v>
      </c>
      <c r="L10" s="7">
        <v>150000</v>
      </c>
      <c r="M10" s="7"/>
      <c r="N10" s="7">
        <v>9531750</v>
      </c>
      <c r="O10" s="7">
        <v>4870000</v>
      </c>
      <c r="P10" s="7"/>
      <c r="Q10" s="7">
        <v>627500</v>
      </c>
      <c r="R10" s="7">
        <v>900000</v>
      </c>
      <c r="S10" s="7"/>
      <c r="T10" s="7">
        <v>0</v>
      </c>
      <c r="U10" s="17">
        <v>0</v>
      </c>
    </row>
    <row r="11" spans="1:21">
      <c r="A11" t="s">
        <v>5</v>
      </c>
      <c r="B11" s="10">
        <v>0</v>
      </c>
      <c r="C11" s="7">
        <v>2443159.9777260432</v>
      </c>
      <c r="D11" s="7">
        <v>0</v>
      </c>
      <c r="E11" s="7">
        <v>0</v>
      </c>
      <c r="F11" s="17">
        <f t="shared" si="0"/>
        <v>2443159.9777260432</v>
      </c>
      <c r="H11" s="4"/>
      <c r="I11" s="14"/>
      <c r="K11" s="10">
        <v>0</v>
      </c>
      <c r="L11" s="7">
        <v>0</v>
      </c>
      <c r="M11" s="7"/>
      <c r="N11" s="7">
        <v>4750000</v>
      </c>
      <c r="O11" s="7">
        <v>36245050</v>
      </c>
      <c r="P11" s="7"/>
      <c r="Q11" s="7">
        <v>0</v>
      </c>
      <c r="R11" s="7">
        <v>0</v>
      </c>
      <c r="S11" s="7"/>
      <c r="T11" s="7">
        <v>0</v>
      </c>
      <c r="U11" s="17">
        <v>0</v>
      </c>
    </row>
    <row r="12" spans="1:21">
      <c r="A12" t="s">
        <v>6</v>
      </c>
      <c r="B12" s="10">
        <v>0</v>
      </c>
      <c r="C12" s="7">
        <v>9557.3516891548825</v>
      </c>
      <c r="D12" s="7">
        <v>0</v>
      </c>
      <c r="E12" s="7">
        <v>0</v>
      </c>
      <c r="F12" s="17">
        <f t="shared" si="0"/>
        <v>9557.3516891548825</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669896</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784288</v>
      </c>
      <c r="K14" s="10"/>
      <c r="L14" s="7"/>
      <c r="M14" s="7"/>
      <c r="N14" s="7"/>
      <c r="O14" s="7"/>
      <c r="P14" s="7"/>
      <c r="Q14" s="7"/>
      <c r="R14" s="7"/>
      <c r="S14" s="7"/>
      <c r="T14" s="7"/>
      <c r="U14" s="17"/>
    </row>
    <row r="15" spans="1:21">
      <c r="A15" t="s">
        <v>9</v>
      </c>
      <c r="B15" s="10">
        <v>1410.9167411910112</v>
      </c>
      <c r="C15" s="7">
        <v>2375761.3983524051</v>
      </c>
      <c r="D15" s="7">
        <v>0</v>
      </c>
      <c r="E15" s="7">
        <v>0</v>
      </c>
      <c r="F15" s="17">
        <f t="shared" si="0"/>
        <v>2377172.315093596</v>
      </c>
      <c r="H15" s="4" t="s">
        <v>69</v>
      </c>
      <c r="I15" s="14">
        <v>603230.26999999967</v>
      </c>
      <c r="K15" s="10">
        <v>0</v>
      </c>
      <c r="L15" s="7">
        <v>0</v>
      </c>
      <c r="M15" s="7"/>
      <c r="N15" s="7">
        <v>5300000</v>
      </c>
      <c r="O15" s="7">
        <v>142450</v>
      </c>
      <c r="P15" s="7"/>
      <c r="Q15" s="7">
        <v>0</v>
      </c>
      <c r="R15" s="7">
        <v>0</v>
      </c>
      <c r="S15" s="7"/>
      <c r="T15" s="7">
        <v>0</v>
      </c>
      <c r="U15" s="17">
        <v>0</v>
      </c>
    </row>
    <row r="16" spans="1:21">
      <c r="A16" t="s">
        <v>10</v>
      </c>
      <c r="B16" s="10">
        <v>440.37670750211601</v>
      </c>
      <c r="C16" s="7">
        <v>216644.49027520104</v>
      </c>
      <c r="D16" s="7">
        <v>2819.5698140859176</v>
      </c>
      <c r="E16" s="7">
        <v>0</v>
      </c>
      <c r="F16" s="17">
        <f t="shared" si="0"/>
        <v>219904.43679678909</v>
      </c>
      <c r="H16" s="4" t="s">
        <v>70</v>
      </c>
      <c r="I16" s="14">
        <v>0</v>
      </c>
      <c r="K16" s="10">
        <v>664</v>
      </c>
      <c r="L16" s="7">
        <v>0</v>
      </c>
      <c r="M16" s="7"/>
      <c r="N16" s="7">
        <v>380963</v>
      </c>
      <c r="O16" s="7">
        <v>1461.13</v>
      </c>
      <c r="P16" s="7"/>
      <c r="Q16" s="7">
        <v>0</v>
      </c>
      <c r="R16" s="7">
        <v>0</v>
      </c>
      <c r="S16" s="7"/>
      <c r="T16" s="7">
        <v>0</v>
      </c>
      <c r="U16" s="17">
        <v>0</v>
      </c>
    </row>
    <row r="17" spans="1:21">
      <c r="A17" t="s">
        <v>11</v>
      </c>
      <c r="B17" s="10">
        <v>0</v>
      </c>
      <c r="C17" s="7">
        <v>9933.6956731566243</v>
      </c>
      <c r="D17" s="7">
        <v>0</v>
      </c>
      <c r="E17" s="7">
        <v>0</v>
      </c>
      <c r="F17" s="17">
        <f t="shared" si="0"/>
        <v>9933.6956731566243</v>
      </c>
      <c r="H17" s="4"/>
      <c r="I17" s="14"/>
      <c r="K17" s="10">
        <v>0</v>
      </c>
      <c r="L17" s="7">
        <v>0</v>
      </c>
      <c r="M17" s="7"/>
      <c r="N17" s="7">
        <v>23025</v>
      </c>
      <c r="O17" s="7">
        <v>0</v>
      </c>
      <c r="P17" s="7"/>
      <c r="Q17" s="7">
        <v>33</v>
      </c>
      <c r="R17" s="7">
        <v>0</v>
      </c>
      <c r="S17" s="7"/>
      <c r="T17" s="7">
        <v>0</v>
      </c>
      <c r="U17" s="17">
        <v>0</v>
      </c>
    </row>
    <row r="18" spans="1:21">
      <c r="A18" t="s">
        <v>12</v>
      </c>
      <c r="B18" s="10">
        <v>0</v>
      </c>
      <c r="C18" s="7">
        <v>16744.158912085666</v>
      </c>
      <c r="D18" s="7">
        <v>0</v>
      </c>
      <c r="E18" s="7">
        <v>0</v>
      </c>
      <c r="F18" s="17">
        <f t="shared" si="0"/>
        <v>16744.158912085666</v>
      </c>
      <c r="H18" s="4" t="s">
        <v>71</v>
      </c>
      <c r="I18" s="14"/>
      <c r="K18" s="10">
        <v>0</v>
      </c>
      <c r="L18" s="7">
        <v>0</v>
      </c>
      <c r="M18" s="7"/>
      <c r="N18" s="7">
        <v>20000</v>
      </c>
      <c r="O18" s="7">
        <v>0</v>
      </c>
      <c r="P18" s="7"/>
      <c r="Q18" s="7">
        <v>0</v>
      </c>
      <c r="R18" s="7">
        <v>0</v>
      </c>
      <c r="S18" s="7"/>
      <c r="T18" s="7">
        <v>0</v>
      </c>
      <c r="U18" s="17">
        <v>0</v>
      </c>
    </row>
    <row r="19" spans="1:21">
      <c r="A19" t="s">
        <v>13</v>
      </c>
      <c r="B19" s="10">
        <v>0</v>
      </c>
      <c r="C19" s="7">
        <v>19679.057104698324</v>
      </c>
      <c r="D19" s="7">
        <v>0</v>
      </c>
      <c r="E19" s="7">
        <v>0</v>
      </c>
      <c r="F19" s="17">
        <f t="shared" si="0"/>
        <v>19679.057104698324</v>
      </c>
      <c r="H19" s="4" t="s">
        <v>72</v>
      </c>
      <c r="I19" s="14">
        <v>81145732</v>
      </c>
      <c r="K19" s="10">
        <v>0</v>
      </c>
      <c r="L19" s="7">
        <v>0</v>
      </c>
      <c r="M19" s="7"/>
      <c r="N19" s="7">
        <v>75000</v>
      </c>
      <c r="O19" s="7">
        <v>0</v>
      </c>
      <c r="P19" s="7"/>
      <c r="Q19" s="7">
        <v>0</v>
      </c>
      <c r="R19" s="7">
        <v>0</v>
      </c>
      <c r="S19" s="7"/>
      <c r="T19" s="7">
        <v>0</v>
      </c>
      <c r="U19" s="17">
        <v>0</v>
      </c>
    </row>
    <row r="20" spans="1:21">
      <c r="A20" t="s">
        <v>14</v>
      </c>
      <c r="B20" s="10">
        <v>0</v>
      </c>
      <c r="C20" s="7">
        <v>76979.692383648478</v>
      </c>
      <c r="D20" s="7">
        <v>0</v>
      </c>
      <c r="E20" s="7">
        <v>0</v>
      </c>
      <c r="F20" s="17">
        <f t="shared" si="0"/>
        <v>76979.692383648478</v>
      </c>
      <c r="H20" s="4" t="s">
        <v>73</v>
      </c>
      <c r="I20" s="14">
        <v>-1295162.1681421685</v>
      </c>
      <c r="K20" s="10"/>
      <c r="L20" s="7"/>
      <c r="M20" s="7"/>
      <c r="N20" s="7"/>
      <c r="O20" s="7"/>
      <c r="P20" s="7"/>
      <c r="Q20" s="7"/>
      <c r="R20" s="7"/>
      <c r="S20" s="7"/>
      <c r="T20" s="7"/>
      <c r="U20" s="17"/>
    </row>
    <row r="21" spans="1:21">
      <c r="A21" t="s">
        <v>15</v>
      </c>
      <c r="B21" s="10">
        <v>0</v>
      </c>
      <c r="C21" s="7">
        <v>10547.13737464328</v>
      </c>
      <c r="D21" s="7">
        <v>0</v>
      </c>
      <c r="E21" s="7">
        <v>0</v>
      </c>
      <c r="F21" s="17">
        <f t="shared" si="0"/>
        <v>10547.13737464328</v>
      </c>
      <c r="H21" s="4" t="s">
        <v>74</v>
      </c>
      <c r="I21" s="14"/>
      <c r="K21" s="10"/>
      <c r="L21" s="7"/>
      <c r="M21" s="7"/>
      <c r="N21" s="7"/>
      <c r="O21" s="7"/>
      <c r="P21" s="7"/>
      <c r="Q21" s="7"/>
      <c r="R21" s="7"/>
      <c r="S21" s="7"/>
      <c r="T21" s="7"/>
      <c r="U21" s="17"/>
    </row>
    <row r="22" spans="1:21">
      <c r="A22" t="s">
        <v>16</v>
      </c>
      <c r="B22" s="10">
        <v>0</v>
      </c>
      <c r="C22" s="7">
        <v>41224.647284539766</v>
      </c>
      <c r="D22" s="7">
        <v>0</v>
      </c>
      <c r="E22" s="7">
        <v>0</v>
      </c>
      <c r="F22" s="17">
        <f t="shared" si="0"/>
        <v>41224.647284539766</v>
      </c>
      <c r="H22" s="4" t="s">
        <v>75</v>
      </c>
      <c r="I22" s="14">
        <v>3477487</v>
      </c>
      <c r="K22" s="10"/>
      <c r="L22" s="7"/>
      <c r="M22" s="7"/>
      <c r="N22" s="7"/>
      <c r="O22" s="7"/>
      <c r="P22" s="7"/>
      <c r="Q22" s="7"/>
      <c r="R22" s="7"/>
      <c r="S22" s="7"/>
      <c r="T22" s="7"/>
      <c r="U22" s="17"/>
    </row>
    <row r="23" spans="1:21">
      <c r="A23" t="s">
        <v>17</v>
      </c>
      <c r="B23" s="10">
        <v>0</v>
      </c>
      <c r="C23" s="7">
        <v>4611.4907571345793</v>
      </c>
      <c r="D23" s="7">
        <v>0</v>
      </c>
      <c r="E23" s="7">
        <v>0</v>
      </c>
      <c r="F23" s="17">
        <f t="shared" si="0"/>
        <v>4611.4907571345793</v>
      </c>
      <c r="H23" s="4" t="s">
        <v>76</v>
      </c>
      <c r="I23" s="14"/>
      <c r="K23" s="10"/>
      <c r="L23" s="7"/>
      <c r="M23" s="7"/>
      <c r="N23" s="7"/>
      <c r="O23" s="7"/>
      <c r="P23" s="7"/>
      <c r="Q23" s="7"/>
      <c r="R23" s="7"/>
      <c r="S23" s="7"/>
      <c r="T23" s="7"/>
      <c r="U23" s="17"/>
    </row>
    <row r="24" spans="1:21">
      <c r="A24" t="s">
        <v>18</v>
      </c>
      <c r="B24" s="10">
        <v>37.539028859730919</v>
      </c>
      <c r="C24" s="7">
        <v>105791.57802098084</v>
      </c>
      <c r="D24" s="7">
        <v>0</v>
      </c>
      <c r="E24" s="7">
        <v>0</v>
      </c>
      <c r="F24" s="17">
        <f t="shared" si="0"/>
        <v>105829.11704984057</v>
      </c>
      <c r="H24" s="4" t="s">
        <v>77</v>
      </c>
      <c r="I24" s="14">
        <v>15938260.882711198</v>
      </c>
      <c r="K24" s="10">
        <v>3050</v>
      </c>
      <c r="L24" s="7">
        <v>0</v>
      </c>
      <c r="M24" s="7"/>
      <c r="N24" s="7">
        <v>301950</v>
      </c>
      <c r="O24" s="7">
        <v>0</v>
      </c>
      <c r="P24" s="7"/>
      <c r="Q24" s="7">
        <v>0</v>
      </c>
      <c r="R24" s="7">
        <v>0</v>
      </c>
      <c r="S24" s="7"/>
      <c r="T24" s="7">
        <v>0</v>
      </c>
      <c r="U24" s="17">
        <v>0</v>
      </c>
    </row>
    <row r="25" spans="1:21">
      <c r="A25" t="s">
        <v>19</v>
      </c>
      <c r="B25" s="10">
        <v>0</v>
      </c>
      <c r="C25" s="7">
        <v>7408.7738183964939</v>
      </c>
      <c r="D25" s="7">
        <v>0</v>
      </c>
      <c r="E25" s="7">
        <v>0</v>
      </c>
      <c r="F25" s="17">
        <f t="shared" si="0"/>
        <v>7408.7738183964939</v>
      </c>
      <c r="H25" s="4"/>
      <c r="I25" s="14"/>
      <c r="K25" s="10">
        <v>0</v>
      </c>
      <c r="L25" s="7">
        <v>0</v>
      </c>
      <c r="M25" s="7"/>
      <c r="N25" s="7">
        <v>0</v>
      </c>
      <c r="O25" s="7">
        <v>0</v>
      </c>
      <c r="P25" s="7"/>
      <c r="Q25" s="7">
        <v>0</v>
      </c>
      <c r="R25" s="7">
        <v>0</v>
      </c>
      <c r="S25" s="7"/>
      <c r="T25" s="7">
        <v>0</v>
      </c>
      <c r="U25" s="17">
        <v>0</v>
      </c>
    </row>
    <row r="26" spans="1:21">
      <c r="A26" t="s">
        <v>20</v>
      </c>
      <c r="B26" s="10">
        <v>0</v>
      </c>
      <c r="C26" s="7">
        <v>37939.561137373879</v>
      </c>
      <c r="D26" s="7">
        <v>0</v>
      </c>
      <c r="E26" s="7">
        <v>0</v>
      </c>
      <c r="F26" s="17">
        <f t="shared" si="0"/>
        <v>37939.561137373879</v>
      </c>
      <c r="H26" s="4" t="s">
        <v>78</v>
      </c>
      <c r="I26" s="14">
        <f>SUM(I10:I16)-SUM(I19:I24)</f>
        <v>13146412.555430964</v>
      </c>
      <c r="K26" s="10">
        <v>0</v>
      </c>
      <c r="L26" s="7">
        <v>0</v>
      </c>
      <c r="M26" s="7"/>
      <c r="N26" s="7">
        <v>79000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13146412.55543096</v>
      </c>
      <c r="K27" s="10"/>
      <c r="L27" s="7"/>
      <c r="M27" s="7"/>
      <c r="N27" s="7"/>
      <c r="O27" s="7"/>
      <c r="P27" s="7"/>
      <c r="Q27" s="7"/>
      <c r="R27" s="7"/>
      <c r="S27" s="7"/>
      <c r="T27" s="7"/>
      <c r="U27" s="17"/>
    </row>
    <row r="28" spans="1:21">
      <c r="A28" t="s">
        <v>22</v>
      </c>
      <c r="B28" s="10">
        <v>0</v>
      </c>
      <c r="C28" s="7">
        <v>27916.693469608406</v>
      </c>
      <c r="D28" s="7">
        <v>0</v>
      </c>
      <c r="E28" s="7">
        <v>0</v>
      </c>
      <c r="F28" s="17">
        <f t="shared" si="0"/>
        <v>27916.693469608406</v>
      </c>
      <c r="H28" s="23"/>
      <c r="I28" s="25"/>
      <c r="K28" s="10"/>
      <c r="L28" s="7"/>
      <c r="M28" s="7"/>
      <c r="N28" s="7"/>
      <c r="O28" s="7"/>
      <c r="P28" s="7"/>
      <c r="Q28" s="7"/>
      <c r="R28" s="7"/>
      <c r="S28" s="7"/>
      <c r="T28" s="7"/>
      <c r="U28" s="17"/>
    </row>
    <row r="29" spans="1:21">
      <c r="A29" t="s">
        <v>23</v>
      </c>
      <c r="B29" s="10">
        <v>0</v>
      </c>
      <c r="C29" s="7">
        <v>55686.82287701407</v>
      </c>
      <c r="D29" s="7">
        <v>0</v>
      </c>
      <c r="E29" s="7">
        <v>0</v>
      </c>
      <c r="F29" s="17">
        <f t="shared" si="0"/>
        <v>55686.82287701407</v>
      </c>
      <c r="K29" s="10">
        <v>0</v>
      </c>
      <c r="L29" s="7">
        <v>0</v>
      </c>
      <c r="M29" s="7"/>
      <c r="N29" s="7">
        <v>125000</v>
      </c>
      <c r="O29" s="7">
        <v>0</v>
      </c>
      <c r="P29" s="7"/>
      <c r="Q29" s="7">
        <v>0</v>
      </c>
      <c r="R29" s="7">
        <v>0</v>
      </c>
      <c r="S29" s="7"/>
      <c r="T29" s="7">
        <v>0</v>
      </c>
      <c r="U29" s="17">
        <v>0</v>
      </c>
    </row>
    <row r="30" spans="1:21">
      <c r="A30" t="s">
        <v>24</v>
      </c>
      <c r="B30" s="10">
        <v>0</v>
      </c>
      <c r="C30" s="7">
        <v>103849.83021332361</v>
      </c>
      <c r="D30" s="7">
        <v>0</v>
      </c>
      <c r="E30" s="7">
        <v>0</v>
      </c>
      <c r="F30" s="17">
        <f t="shared" si="0"/>
        <v>103849.83021332361</v>
      </c>
      <c r="K30" s="10">
        <v>288530</v>
      </c>
      <c r="L30" s="7">
        <v>0</v>
      </c>
      <c r="M30" s="7"/>
      <c r="N30" s="7">
        <v>0</v>
      </c>
      <c r="O30" s="7">
        <v>0</v>
      </c>
      <c r="P30" s="7"/>
      <c r="Q30" s="7">
        <v>0</v>
      </c>
      <c r="R30" s="7">
        <v>0</v>
      </c>
      <c r="S30" s="7"/>
      <c r="T30" s="7">
        <v>0</v>
      </c>
      <c r="U30" s="17">
        <v>0</v>
      </c>
    </row>
    <row r="31" spans="1:21">
      <c r="A31" t="s">
        <v>25</v>
      </c>
      <c r="B31" s="10">
        <v>0</v>
      </c>
      <c r="C31" s="7">
        <v>30610.023260360962</v>
      </c>
      <c r="D31" s="7">
        <v>0</v>
      </c>
      <c r="E31" s="7">
        <v>0</v>
      </c>
      <c r="F31" s="17">
        <f t="shared" si="0"/>
        <v>30610.023260360962</v>
      </c>
      <c r="K31" s="10"/>
      <c r="L31" s="7"/>
      <c r="M31" s="7"/>
      <c r="N31" s="7"/>
      <c r="O31" s="7"/>
      <c r="P31" s="7"/>
      <c r="Q31" s="7"/>
      <c r="R31" s="7"/>
      <c r="S31" s="7"/>
      <c r="T31" s="7"/>
      <c r="U31" s="17"/>
    </row>
    <row r="32" spans="1:21">
      <c r="A32" t="s">
        <v>26</v>
      </c>
      <c r="B32" s="10">
        <v>0</v>
      </c>
      <c r="C32" s="7">
        <v>21688.234411813261</v>
      </c>
      <c r="D32" s="7">
        <v>0</v>
      </c>
      <c r="E32" s="7">
        <v>0</v>
      </c>
      <c r="F32" s="17">
        <f t="shared" si="0"/>
        <v>21688.234411813261</v>
      </c>
      <c r="K32" s="10"/>
      <c r="L32" s="7"/>
      <c r="M32" s="7"/>
      <c r="N32" s="7"/>
      <c r="O32" s="7"/>
      <c r="P32" s="7"/>
      <c r="Q32" s="7"/>
      <c r="R32" s="7"/>
      <c r="S32" s="7"/>
      <c r="T32" s="7"/>
      <c r="U32" s="17"/>
    </row>
    <row r="33" spans="1:21">
      <c r="A33" t="s">
        <v>27</v>
      </c>
      <c r="B33" s="10">
        <v>0</v>
      </c>
      <c r="C33" s="7">
        <v>324697.19686748844</v>
      </c>
      <c r="D33" s="7">
        <v>0</v>
      </c>
      <c r="E33" s="7">
        <v>0</v>
      </c>
      <c r="F33" s="17">
        <f t="shared" si="0"/>
        <v>324697.19686748844</v>
      </c>
      <c r="K33" s="10">
        <v>0</v>
      </c>
      <c r="L33" s="7">
        <v>0</v>
      </c>
      <c r="M33" s="7"/>
      <c r="N33" s="7">
        <v>831523</v>
      </c>
      <c r="O33" s="7">
        <v>0</v>
      </c>
      <c r="P33" s="7"/>
      <c r="Q33" s="7">
        <v>0</v>
      </c>
      <c r="R33" s="7">
        <v>0</v>
      </c>
      <c r="S33" s="7"/>
      <c r="T33" s="7">
        <v>0</v>
      </c>
      <c r="U33" s="17">
        <v>0</v>
      </c>
    </row>
    <row r="34" spans="1:21">
      <c r="A34" t="s">
        <v>28</v>
      </c>
      <c r="B34" s="10">
        <v>0</v>
      </c>
      <c r="C34" s="7">
        <v>271686.24775756139</v>
      </c>
      <c r="D34" s="7">
        <v>0</v>
      </c>
      <c r="E34" s="7">
        <v>0</v>
      </c>
      <c r="F34" s="17">
        <f t="shared" si="0"/>
        <v>271686.24775756139</v>
      </c>
      <c r="K34" s="10">
        <v>0</v>
      </c>
      <c r="L34" s="7">
        <v>0</v>
      </c>
      <c r="M34" s="7"/>
      <c r="N34" s="7">
        <v>604300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1591.9518210554152</v>
      </c>
      <c r="D36" s="7">
        <v>0</v>
      </c>
      <c r="E36" s="7">
        <v>0</v>
      </c>
      <c r="F36" s="17">
        <f t="shared" si="0"/>
        <v>1591.9518210554152</v>
      </c>
      <c r="K36" s="10"/>
      <c r="L36" s="7"/>
      <c r="M36" s="7"/>
      <c r="N36" s="7"/>
      <c r="O36" s="7"/>
      <c r="P36" s="7"/>
      <c r="Q36" s="7"/>
      <c r="R36" s="7"/>
      <c r="S36" s="7"/>
      <c r="T36" s="7"/>
      <c r="U36" s="17"/>
    </row>
    <row r="37" spans="1:21">
      <c r="A37" t="s">
        <v>31</v>
      </c>
      <c r="B37" s="10">
        <v>0</v>
      </c>
      <c r="C37" s="7">
        <v>323155.58198765945</v>
      </c>
      <c r="D37" s="7">
        <v>0</v>
      </c>
      <c r="E37" s="7">
        <v>0</v>
      </c>
      <c r="F37" s="17">
        <f t="shared" si="0"/>
        <v>323155.58198765945</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556890.91519387625</v>
      </c>
      <c r="D39" s="7">
        <v>0</v>
      </c>
      <c r="E39" s="7">
        <v>0</v>
      </c>
      <c r="F39" s="17">
        <f t="shared" si="1"/>
        <v>556890.91519387625</v>
      </c>
      <c r="K39" s="10">
        <v>0</v>
      </c>
      <c r="L39" s="7">
        <v>0</v>
      </c>
      <c r="M39" s="7"/>
      <c r="N39" s="7">
        <v>275000</v>
      </c>
      <c r="O39" s="7">
        <v>175000</v>
      </c>
      <c r="P39" s="7"/>
      <c r="Q39" s="7">
        <v>0</v>
      </c>
      <c r="R39" s="7">
        <v>0</v>
      </c>
      <c r="S39" s="7"/>
      <c r="T39" s="7">
        <v>0</v>
      </c>
      <c r="U39" s="17">
        <v>0</v>
      </c>
    </row>
    <row r="40" spans="1:21">
      <c r="A40" t="s">
        <v>34</v>
      </c>
      <c r="B40" s="10">
        <v>0</v>
      </c>
      <c r="C40" s="7">
        <v>22515.079496243969</v>
      </c>
      <c r="D40" s="7">
        <v>0</v>
      </c>
      <c r="E40" s="7">
        <v>0</v>
      </c>
      <c r="F40" s="17">
        <f t="shared" si="1"/>
        <v>22515.079496243969</v>
      </c>
      <c r="K40" s="10">
        <v>0</v>
      </c>
      <c r="L40" s="7">
        <v>0</v>
      </c>
      <c r="M40" s="7"/>
      <c r="N40" s="7">
        <v>86000</v>
      </c>
      <c r="O40" s="7">
        <v>63400</v>
      </c>
      <c r="P40" s="7"/>
      <c r="Q40" s="7">
        <v>0</v>
      </c>
      <c r="R40" s="7">
        <v>0</v>
      </c>
      <c r="S40" s="7"/>
      <c r="T40" s="7">
        <v>0</v>
      </c>
      <c r="U40" s="17">
        <v>0</v>
      </c>
    </row>
    <row r="41" spans="1:21">
      <c r="A41" t="s">
        <v>35</v>
      </c>
      <c r="B41" s="10">
        <v>0</v>
      </c>
      <c r="C41" s="7">
        <v>60458.447520160058</v>
      </c>
      <c r="D41" s="7">
        <v>0</v>
      </c>
      <c r="E41" s="7">
        <v>0</v>
      </c>
      <c r="F41" s="17">
        <f t="shared" si="1"/>
        <v>60458.447520160058</v>
      </c>
      <c r="K41" s="10">
        <v>0</v>
      </c>
      <c r="L41" s="7">
        <v>0</v>
      </c>
      <c r="M41" s="7"/>
      <c r="N41" s="7">
        <v>150000</v>
      </c>
      <c r="O41" s="7">
        <v>0</v>
      </c>
      <c r="P41" s="7"/>
      <c r="Q41" s="7">
        <v>0</v>
      </c>
      <c r="R41" s="7">
        <v>0</v>
      </c>
      <c r="S41" s="7"/>
      <c r="T41" s="7">
        <v>0</v>
      </c>
      <c r="U41" s="17">
        <v>0</v>
      </c>
    </row>
    <row r="42" spans="1:21">
      <c r="A42" t="s">
        <v>36</v>
      </c>
      <c r="B42" s="10">
        <v>0</v>
      </c>
      <c r="C42" s="7">
        <v>180454.092664967</v>
      </c>
      <c r="D42" s="7">
        <v>0</v>
      </c>
      <c r="E42" s="7">
        <v>0</v>
      </c>
      <c r="F42" s="17">
        <f t="shared" si="1"/>
        <v>180454.092664967</v>
      </c>
      <c r="K42" s="10">
        <v>0</v>
      </c>
      <c r="L42" s="7">
        <v>0</v>
      </c>
      <c r="M42" s="7"/>
      <c r="N42" s="7">
        <v>550000</v>
      </c>
      <c r="O42" s="7">
        <v>225000</v>
      </c>
      <c r="P42" s="7"/>
      <c r="Q42" s="7">
        <v>0</v>
      </c>
      <c r="R42" s="7">
        <v>0</v>
      </c>
      <c r="S42" s="7"/>
      <c r="T42" s="7">
        <v>0</v>
      </c>
      <c r="U42" s="17">
        <v>0</v>
      </c>
    </row>
    <row r="43" spans="1:21">
      <c r="A43" t="s">
        <v>37</v>
      </c>
      <c r="B43" s="10">
        <v>0</v>
      </c>
      <c r="C43" s="7">
        <v>42750.988490558841</v>
      </c>
      <c r="D43" s="7">
        <v>0</v>
      </c>
      <c r="E43" s="7">
        <v>0</v>
      </c>
      <c r="F43" s="17">
        <f t="shared" si="1"/>
        <v>42750.988490558841</v>
      </c>
      <c r="K43" s="10"/>
      <c r="L43" s="7"/>
      <c r="M43" s="7"/>
      <c r="N43" s="7"/>
      <c r="O43" s="7"/>
      <c r="P43" s="7"/>
      <c r="Q43" s="7"/>
      <c r="R43" s="7"/>
      <c r="S43" s="7"/>
      <c r="T43" s="7"/>
      <c r="U43" s="17"/>
    </row>
    <row r="44" spans="1:21">
      <c r="A44" t="s">
        <v>38</v>
      </c>
      <c r="B44" s="10">
        <v>0</v>
      </c>
      <c r="C44" s="7">
        <v>47330.488144818926</v>
      </c>
      <c r="D44" s="7">
        <v>0</v>
      </c>
      <c r="E44" s="7">
        <v>0</v>
      </c>
      <c r="F44" s="17">
        <f t="shared" si="1"/>
        <v>47330.488144818926</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2414.6655813663015</v>
      </c>
      <c r="D48" s="7">
        <v>0</v>
      </c>
      <c r="E48" s="7">
        <v>0</v>
      </c>
      <c r="F48" s="17">
        <f t="shared" si="1"/>
        <v>2414.6655813663015</v>
      </c>
      <c r="K48" s="10"/>
      <c r="L48" s="7"/>
      <c r="M48" s="7"/>
      <c r="N48" s="7"/>
      <c r="O48" s="7"/>
      <c r="P48" s="7"/>
      <c r="Q48" s="7"/>
      <c r="R48" s="7"/>
      <c r="S48" s="7"/>
      <c r="T48" s="7"/>
      <c r="U48" s="17"/>
    </row>
    <row r="49" spans="1:21">
      <c r="A49" t="s">
        <v>43</v>
      </c>
      <c r="B49" s="10">
        <v>0</v>
      </c>
      <c r="C49" s="7">
        <v>16871.810031975197</v>
      </c>
      <c r="D49" s="7">
        <v>0</v>
      </c>
      <c r="E49" s="7">
        <v>0</v>
      </c>
      <c r="F49" s="17">
        <f t="shared" si="1"/>
        <v>16871.810031975197</v>
      </c>
      <c r="K49" s="10"/>
      <c r="L49" s="7"/>
      <c r="M49" s="7"/>
      <c r="N49" s="7"/>
      <c r="O49" s="7"/>
      <c r="P49" s="7"/>
      <c r="Q49" s="7"/>
      <c r="R49" s="7"/>
      <c r="S49" s="7"/>
      <c r="T49" s="7"/>
      <c r="U49" s="17"/>
    </row>
    <row r="50" spans="1:21">
      <c r="A50" t="s">
        <v>44</v>
      </c>
      <c r="B50" s="10">
        <v>125.63234880991484</v>
      </c>
      <c r="C50" s="7">
        <v>659235.70266479289</v>
      </c>
      <c r="D50" s="7">
        <v>0</v>
      </c>
      <c r="E50" s="7">
        <v>0</v>
      </c>
      <c r="F50" s="17">
        <f t="shared" si="1"/>
        <v>659361.33501360274</v>
      </c>
      <c r="K50" s="10">
        <v>62251</v>
      </c>
      <c r="L50" s="7">
        <v>35418.761199999994</v>
      </c>
      <c r="M50" s="7"/>
      <c r="N50" s="7">
        <v>389989</v>
      </c>
      <c r="O50" s="7">
        <v>221890.79959999997</v>
      </c>
      <c r="P50" s="7"/>
      <c r="Q50" s="7">
        <v>1148044</v>
      </c>
      <c r="R50" s="7">
        <v>653198.43920000002</v>
      </c>
      <c r="S50" s="7"/>
      <c r="T50" s="7">
        <v>0</v>
      </c>
      <c r="U50" s="17">
        <v>0</v>
      </c>
    </row>
    <row r="51" spans="1:21">
      <c r="A51" t="s">
        <v>45</v>
      </c>
      <c r="B51" s="10">
        <v>0</v>
      </c>
      <c r="C51" s="7">
        <v>45149.337489712394</v>
      </c>
      <c r="D51" s="7">
        <v>0</v>
      </c>
      <c r="E51" s="7">
        <v>0</v>
      </c>
      <c r="F51" s="17">
        <f t="shared" si="1"/>
        <v>45149.337489712394</v>
      </c>
      <c r="K51" s="10">
        <v>0</v>
      </c>
      <c r="L51" s="7">
        <v>0</v>
      </c>
      <c r="M51" s="7"/>
      <c r="N51" s="7">
        <v>95000</v>
      </c>
      <c r="O51" s="7">
        <v>0</v>
      </c>
      <c r="P51" s="7"/>
      <c r="Q51" s="7">
        <v>0</v>
      </c>
      <c r="R51" s="7">
        <v>0</v>
      </c>
      <c r="S51" s="7"/>
      <c r="T51" s="7">
        <v>0</v>
      </c>
      <c r="U51" s="17">
        <v>0</v>
      </c>
    </row>
    <row r="52" spans="1:21">
      <c r="A52" t="s">
        <v>46</v>
      </c>
      <c r="B52" s="10">
        <v>0</v>
      </c>
      <c r="C52" s="7">
        <v>10534.685585793295</v>
      </c>
      <c r="D52" s="7">
        <v>0</v>
      </c>
      <c r="E52" s="7">
        <v>0</v>
      </c>
      <c r="F52" s="17">
        <f t="shared" si="1"/>
        <v>10534.685585793295</v>
      </c>
      <c r="K52" s="10">
        <v>0</v>
      </c>
      <c r="L52" s="7">
        <v>0</v>
      </c>
      <c r="M52" s="7"/>
      <c r="N52" s="7">
        <v>0</v>
      </c>
      <c r="O52" s="7">
        <v>0</v>
      </c>
      <c r="P52" s="7"/>
      <c r="Q52" s="7">
        <v>0</v>
      </c>
      <c r="R52" s="7">
        <v>0</v>
      </c>
      <c r="S52" s="7"/>
      <c r="T52" s="7">
        <v>0</v>
      </c>
      <c r="U52" s="17">
        <v>0</v>
      </c>
    </row>
    <row r="53" spans="1:21">
      <c r="A53" t="s">
        <v>47</v>
      </c>
      <c r="B53" s="10">
        <v>0</v>
      </c>
      <c r="C53" s="7">
        <v>157102.76319075408</v>
      </c>
      <c r="D53" s="7">
        <v>0</v>
      </c>
      <c r="E53" s="7">
        <v>0</v>
      </c>
      <c r="F53" s="17">
        <f t="shared" si="1"/>
        <v>157102.76319075408</v>
      </c>
      <c r="K53" s="10">
        <v>0</v>
      </c>
      <c r="L53" s="7">
        <v>0</v>
      </c>
      <c r="M53" s="7"/>
      <c r="N53" s="7">
        <v>130000</v>
      </c>
      <c r="O53" s="7">
        <v>0</v>
      </c>
      <c r="P53" s="7"/>
      <c r="Q53" s="7">
        <v>10000</v>
      </c>
      <c r="R53" s="7">
        <v>0</v>
      </c>
      <c r="S53" s="7"/>
      <c r="T53" s="7">
        <v>0</v>
      </c>
      <c r="U53" s="17">
        <v>0</v>
      </c>
    </row>
    <row r="54" spans="1:21">
      <c r="A54" t="s">
        <v>48</v>
      </c>
      <c r="B54" s="10">
        <v>0</v>
      </c>
      <c r="C54" s="7">
        <v>62235.163136275689</v>
      </c>
      <c r="D54" s="7">
        <v>0</v>
      </c>
      <c r="E54" s="7">
        <v>0</v>
      </c>
      <c r="F54" s="17">
        <f t="shared" si="1"/>
        <v>62235.163136275689</v>
      </c>
      <c r="K54" s="10">
        <v>0</v>
      </c>
      <c r="L54" s="7">
        <v>0</v>
      </c>
      <c r="M54" s="7"/>
      <c r="N54" s="7">
        <v>60784</v>
      </c>
      <c r="O54" s="7">
        <v>0</v>
      </c>
      <c r="P54" s="7"/>
      <c r="Q54" s="7">
        <v>0</v>
      </c>
      <c r="R54" s="7">
        <v>0</v>
      </c>
      <c r="S54" s="7"/>
      <c r="T54" s="7">
        <v>0</v>
      </c>
      <c r="U54" s="17">
        <v>0</v>
      </c>
    </row>
    <row r="55" spans="1:21">
      <c r="A55" t="s">
        <v>49</v>
      </c>
      <c r="B55" s="10">
        <v>0</v>
      </c>
      <c r="C55" s="7">
        <v>12141.589114943519</v>
      </c>
      <c r="D55" s="7">
        <v>0</v>
      </c>
      <c r="E55" s="7">
        <v>0</v>
      </c>
      <c r="F55" s="17">
        <f t="shared" si="1"/>
        <v>12141.589114943519</v>
      </c>
      <c r="K55" s="10">
        <v>0</v>
      </c>
      <c r="L55" s="7">
        <v>0</v>
      </c>
      <c r="M55" s="7"/>
      <c r="N55" s="7">
        <v>0</v>
      </c>
      <c r="O55" s="7">
        <v>163676</v>
      </c>
      <c r="P55" s="7"/>
      <c r="Q55" s="7">
        <v>0</v>
      </c>
      <c r="R55" s="7">
        <v>90832</v>
      </c>
      <c r="S55" s="7"/>
      <c r="T55" s="7">
        <v>0</v>
      </c>
      <c r="U55" s="17">
        <v>0</v>
      </c>
    </row>
    <row r="56" spans="1:21">
      <c r="A56" t="s">
        <v>50</v>
      </c>
      <c r="B56" s="10">
        <v>0</v>
      </c>
      <c r="C56" s="7">
        <v>10875.272355088076</v>
      </c>
      <c r="D56" s="7">
        <v>0</v>
      </c>
      <c r="E56" s="7">
        <v>0</v>
      </c>
      <c r="F56" s="17">
        <f t="shared" si="1"/>
        <v>10875.272355088076</v>
      </c>
      <c r="K56" s="10"/>
      <c r="L56" s="7"/>
      <c r="M56" s="7"/>
      <c r="N56" s="7"/>
      <c r="O56" s="7"/>
      <c r="P56" s="7"/>
      <c r="Q56" s="7"/>
      <c r="R56" s="7"/>
      <c r="S56" s="7"/>
      <c r="T56" s="7"/>
      <c r="U56" s="17"/>
    </row>
    <row r="57" spans="1:21">
      <c r="A57" t="s">
        <v>51</v>
      </c>
      <c r="B57" s="10">
        <v>0</v>
      </c>
      <c r="C57" s="7">
        <v>28866.573808658839</v>
      </c>
      <c r="D57" s="7">
        <v>0</v>
      </c>
      <c r="E57" s="7">
        <v>0</v>
      </c>
      <c r="F57" s="17">
        <f t="shared" si="1"/>
        <v>28866.573808658839</v>
      </c>
      <c r="K57" s="10">
        <v>0</v>
      </c>
      <c r="L57" s="7">
        <v>0</v>
      </c>
      <c r="M57" s="7"/>
      <c r="N57" s="7">
        <v>90000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2606.887431261508</v>
      </c>
      <c r="C60" s="7">
        <f>SUM(C6:C58)</f>
        <v>13137751.999779709</v>
      </c>
      <c r="D60" s="7">
        <f>SUM(D6:D58)</f>
        <v>6053.6682199886309</v>
      </c>
      <c r="E60" s="7">
        <f>SUM(E6:E58)</f>
        <v>0</v>
      </c>
      <c r="F60" s="17">
        <f>SUM(F6:F58)</f>
        <v>13146412.55543096</v>
      </c>
      <c r="K60" s="10">
        <f>SUM(K6:K58)</f>
        <v>576171</v>
      </c>
      <c r="L60" s="7">
        <f>SUM(L6:L58)</f>
        <v>185418.76120000001</v>
      </c>
      <c r="M60" s="7"/>
      <c r="N60" s="7">
        <f>SUM(N6:N58)</f>
        <v>24494168</v>
      </c>
      <c r="O60" s="7">
        <f>SUM(O6:O58)</f>
        <v>42107927.9296</v>
      </c>
      <c r="P60" s="7"/>
      <c r="Q60" s="7">
        <f>SUM(Q6:Q58)</f>
        <v>1785577</v>
      </c>
      <c r="R60" s="7">
        <f>SUM(R6:R58)</f>
        <v>1644030.4391999999</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American Life Insurance Company of Pennsylvania&amp;R&amp;"Geneva,Bold"UNAUDITED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9968.1758322875066</v>
      </c>
      <c r="C6" s="7">
        <v>554667.40506722056</v>
      </c>
      <c r="D6" s="7">
        <v>0</v>
      </c>
      <c r="E6" s="7">
        <v>0</v>
      </c>
      <c r="F6" s="17">
        <f t="shared" ref="F6:F37" si="0">SUM(B6:E6)</f>
        <v>564635.58089950809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419826573</v>
      </c>
      <c r="K10" s="10"/>
      <c r="L10" s="7"/>
      <c r="M10" s="7"/>
      <c r="N10" s="7"/>
      <c r="O10" s="7"/>
      <c r="P10" s="7"/>
      <c r="Q10" s="7"/>
      <c r="R10" s="7"/>
      <c r="S10" s="7"/>
      <c r="T10" s="7"/>
      <c r="U10" s="17"/>
    </row>
    <row r="11" spans="1:21">
      <c r="A11" t="s">
        <v>5</v>
      </c>
      <c r="B11" s="10">
        <v>21668.983728158513</v>
      </c>
      <c r="C11" s="7">
        <v>1225246.7010710144</v>
      </c>
      <c r="D11" s="7">
        <v>0</v>
      </c>
      <c r="E11" s="7">
        <v>0</v>
      </c>
      <c r="F11" s="17">
        <f t="shared" si="0"/>
        <v>1246915.6847991729</v>
      </c>
      <c r="H11" s="4"/>
      <c r="I11" s="14"/>
      <c r="K11" s="10">
        <v>0</v>
      </c>
      <c r="L11" s="7">
        <v>0</v>
      </c>
      <c r="M11" s="7"/>
      <c r="N11" s="7">
        <v>0</v>
      </c>
      <c r="O11" s="7">
        <v>1924620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331276.11072979588</v>
      </c>
      <c r="C13" s="7">
        <v>8194478.2082432099</v>
      </c>
      <c r="D13" s="7">
        <v>0</v>
      </c>
      <c r="E13" s="7">
        <v>0</v>
      </c>
      <c r="F13" s="17">
        <f t="shared" si="0"/>
        <v>8525754.3189730048</v>
      </c>
      <c r="H13" s="4" t="s">
        <v>67</v>
      </c>
      <c r="I13" s="14">
        <v>-2321488.0000000005</v>
      </c>
      <c r="K13" s="10">
        <v>3006453</v>
      </c>
      <c r="L13" s="7">
        <v>0</v>
      </c>
      <c r="M13" s="7"/>
      <c r="N13" s="7">
        <v>10258760</v>
      </c>
      <c r="O13" s="7">
        <v>0</v>
      </c>
      <c r="P13" s="7"/>
      <c r="Q13" s="7">
        <v>0</v>
      </c>
      <c r="R13" s="7">
        <v>0</v>
      </c>
      <c r="S13" s="7"/>
      <c r="T13" s="7">
        <v>984787</v>
      </c>
      <c r="U13" s="17">
        <v>0</v>
      </c>
    </row>
    <row r="14" spans="1:21">
      <c r="A14" t="s">
        <v>8</v>
      </c>
      <c r="B14" s="10">
        <v>0</v>
      </c>
      <c r="C14" s="7">
        <v>0</v>
      </c>
      <c r="D14" s="7">
        <v>0</v>
      </c>
      <c r="E14" s="7">
        <v>0</v>
      </c>
      <c r="F14" s="17">
        <f t="shared" si="0"/>
        <v>0</v>
      </c>
      <c r="H14" s="4" t="s">
        <v>68</v>
      </c>
      <c r="I14" s="14">
        <v>2861498</v>
      </c>
      <c r="K14" s="10"/>
      <c r="L14" s="7"/>
      <c r="M14" s="7"/>
      <c r="N14" s="7"/>
      <c r="O14" s="7"/>
      <c r="P14" s="7"/>
      <c r="Q14" s="7"/>
      <c r="R14" s="7"/>
      <c r="S14" s="7"/>
      <c r="T14" s="7"/>
      <c r="U14" s="17"/>
    </row>
    <row r="15" spans="1:21">
      <c r="A15" t="s">
        <v>9</v>
      </c>
      <c r="B15" s="10">
        <v>2509660.7623880282</v>
      </c>
      <c r="C15" s="7">
        <v>51614915.10372293</v>
      </c>
      <c r="D15" s="7">
        <v>0</v>
      </c>
      <c r="E15" s="7">
        <v>0</v>
      </c>
      <c r="F15" s="17">
        <f t="shared" si="0"/>
        <v>54124575.866110958</v>
      </c>
      <c r="H15" s="4" t="s">
        <v>69</v>
      </c>
      <c r="I15" s="14">
        <v>5090772.0199999996</v>
      </c>
      <c r="K15" s="10">
        <v>0</v>
      </c>
      <c r="L15" s="7">
        <v>0</v>
      </c>
      <c r="M15" s="7"/>
      <c r="N15" s="7">
        <v>85429492</v>
      </c>
      <c r="O15" s="7">
        <v>0</v>
      </c>
      <c r="P15" s="7"/>
      <c r="Q15" s="7">
        <v>0</v>
      </c>
      <c r="R15" s="7">
        <v>0</v>
      </c>
      <c r="S15" s="7"/>
      <c r="T15" s="7">
        <v>0</v>
      </c>
      <c r="U15" s="17">
        <v>0</v>
      </c>
    </row>
    <row r="16" spans="1:21">
      <c r="A16" t="s">
        <v>10</v>
      </c>
      <c r="B16" s="10">
        <v>220773.63159450772</v>
      </c>
      <c r="C16" s="7">
        <v>548363.15876162262</v>
      </c>
      <c r="D16" s="7">
        <v>0</v>
      </c>
      <c r="E16" s="7">
        <v>0</v>
      </c>
      <c r="F16" s="17">
        <f t="shared" si="0"/>
        <v>769136.79035613034</v>
      </c>
      <c r="H16" s="4" t="s">
        <v>70</v>
      </c>
      <c r="I16" s="14">
        <v>0</v>
      </c>
      <c r="K16" s="10">
        <v>594918</v>
      </c>
      <c r="L16" s="7">
        <v>0</v>
      </c>
      <c r="M16" s="7"/>
      <c r="N16" s="7">
        <v>1435372</v>
      </c>
      <c r="O16" s="7">
        <v>40044.050000000003</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100737</v>
      </c>
      <c r="K19" s="10"/>
      <c r="L19" s="7"/>
      <c r="M19" s="7"/>
      <c r="N19" s="7"/>
      <c r="O19" s="7"/>
      <c r="P19" s="7"/>
      <c r="Q19" s="7"/>
      <c r="R19" s="7"/>
      <c r="S19" s="7"/>
      <c r="T19" s="7"/>
      <c r="U19" s="17"/>
    </row>
    <row r="20" spans="1:21">
      <c r="A20" t="s">
        <v>14</v>
      </c>
      <c r="B20" s="10">
        <v>91493.097323959402</v>
      </c>
      <c r="C20" s="7">
        <v>6761981.658984419</v>
      </c>
      <c r="D20" s="7">
        <v>0</v>
      </c>
      <c r="E20" s="7">
        <v>0</v>
      </c>
      <c r="F20" s="17">
        <f t="shared" si="0"/>
        <v>6853474.7563083787</v>
      </c>
      <c r="H20" s="4" t="s">
        <v>73</v>
      </c>
      <c r="I20" s="14">
        <v>3944359</v>
      </c>
      <c r="K20" s="10">
        <v>0</v>
      </c>
      <c r="L20" s="7">
        <v>0</v>
      </c>
      <c r="M20" s="7"/>
      <c r="N20" s="7">
        <v>0</v>
      </c>
      <c r="O20" s="7">
        <v>0</v>
      </c>
      <c r="P20" s="7"/>
      <c r="Q20" s="7">
        <v>0</v>
      </c>
      <c r="R20" s="7">
        <v>0</v>
      </c>
      <c r="S20" s="7"/>
      <c r="T20" s="7">
        <v>0</v>
      </c>
      <c r="U20" s="17">
        <v>0</v>
      </c>
    </row>
    <row r="21" spans="1:21">
      <c r="A21" t="s">
        <v>15</v>
      </c>
      <c r="B21" s="10">
        <v>602668.48496656353</v>
      </c>
      <c r="C21" s="7">
        <v>5480296.6801103335</v>
      </c>
      <c r="D21" s="7">
        <v>0</v>
      </c>
      <c r="E21" s="7">
        <v>0</v>
      </c>
      <c r="F21" s="17">
        <f t="shared" si="0"/>
        <v>6082965.1650768965</v>
      </c>
      <c r="H21" s="4" t="s">
        <v>74</v>
      </c>
      <c r="I21" s="14"/>
      <c r="K21" s="10">
        <v>811575</v>
      </c>
      <c r="L21" s="7">
        <v>0</v>
      </c>
      <c r="M21" s="7"/>
      <c r="N21" s="7">
        <v>8763450</v>
      </c>
      <c r="O21" s="7">
        <v>0</v>
      </c>
      <c r="P21" s="7"/>
      <c r="Q21" s="7">
        <v>0</v>
      </c>
      <c r="R21" s="7">
        <v>0</v>
      </c>
      <c r="S21" s="7"/>
      <c r="T21" s="7">
        <v>0</v>
      </c>
      <c r="U21" s="17">
        <v>0</v>
      </c>
    </row>
    <row r="22" spans="1:21">
      <c r="A22" t="s">
        <v>16</v>
      </c>
      <c r="B22" s="10">
        <v>37586.161195161083</v>
      </c>
      <c r="C22" s="7">
        <v>804257.08796377876</v>
      </c>
      <c r="D22" s="7">
        <v>0</v>
      </c>
      <c r="E22" s="7">
        <v>0</v>
      </c>
      <c r="F22" s="17">
        <f t="shared" si="0"/>
        <v>841843.24915893981</v>
      </c>
      <c r="H22" s="4" t="s">
        <v>75</v>
      </c>
      <c r="I22" s="14">
        <v>17758201</v>
      </c>
      <c r="K22" s="10">
        <v>0</v>
      </c>
      <c r="L22" s="7">
        <v>0</v>
      </c>
      <c r="M22" s="7"/>
      <c r="N22" s="7">
        <v>1150000</v>
      </c>
      <c r="O22" s="7">
        <v>0</v>
      </c>
      <c r="P22" s="7"/>
      <c r="Q22" s="7">
        <v>0</v>
      </c>
      <c r="R22" s="7">
        <v>0</v>
      </c>
      <c r="S22" s="7"/>
      <c r="T22" s="7">
        <v>0</v>
      </c>
      <c r="U22" s="17">
        <v>0</v>
      </c>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36173.847570643935</v>
      </c>
      <c r="C24" s="7">
        <v>3446209.6010255357</v>
      </c>
      <c r="D24" s="7">
        <v>0</v>
      </c>
      <c r="E24" s="7">
        <v>0</v>
      </c>
      <c r="F24" s="17">
        <f t="shared" si="0"/>
        <v>3482383.4485961795</v>
      </c>
      <c r="H24" s="4" t="s">
        <v>77</v>
      </c>
      <c r="I24" s="14">
        <v>250941563.19665852</v>
      </c>
      <c r="K24" s="10">
        <v>137291</v>
      </c>
      <c r="L24" s="7">
        <v>0</v>
      </c>
      <c r="M24" s="7"/>
      <c r="N24" s="7">
        <v>7008009</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152712494.82334149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152712494.82334158</v>
      </c>
      <c r="K27" s="10"/>
      <c r="L27" s="7"/>
      <c r="M27" s="7"/>
      <c r="N27" s="7"/>
      <c r="O27" s="7"/>
      <c r="P27" s="7"/>
      <c r="Q27" s="7"/>
      <c r="R27" s="7"/>
      <c r="S27" s="7"/>
      <c r="T27" s="7"/>
      <c r="U27" s="17"/>
    </row>
    <row r="28" spans="1:21">
      <c r="A28" t="s">
        <v>22</v>
      </c>
      <c r="B28" s="10">
        <v>937581.47253889032</v>
      </c>
      <c r="C28" s="7">
        <v>26851845.165976621</v>
      </c>
      <c r="D28" s="7">
        <v>0</v>
      </c>
      <c r="E28" s="7">
        <v>0</v>
      </c>
      <c r="F28" s="17">
        <f t="shared" si="0"/>
        <v>27789426.63851551</v>
      </c>
      <c r="H28" s="23"/>
      <c r="I28" s="25"/>
      <c r="K28" s="10">
        <v>2450000</v>
      </c>
      <c r="L28" s="7">
        <v>0</v>
      </c>
      <c r="M28" s="7"/>
      <c r="N28" s="7">
        <v>37500000</v>
      </c>
      <c r="O28" s="7">
        <v>5992034</v>
      </c>
      <c r="P28" s="7"/>
      <c r="Q28" s="7">
        <v>0</v>
      </c>
      <c r="R28" s="7">
        <v>0</v>
      </c>
      <c r="S28" s="7"/>
      <c r="T28" s="7">
        <v>0</v>
      </c>
      <c r="U28" s="17">
        <v>0</v>
      </c>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6593.3910717993676</v>
      </c>
      <c r="C30" s="7">
        <v>3168384.2386105368</v>
      </c>
      <c r="D30" s="7">
        <v>0</v>
      </c>
      <c r="E30" s="7">
        <v>0</v>
      </c>
      <c r="F30" s="17">
        <f t="shared" si="0"/>
        <v>3174977.629682336</v>
      </c>
      <c r="K30" s="10">
        <v>3954136</v>
      </c>
      <c r="L30" s="7">
        <v>0</v>
      </c>
      <c r="M30" s="7"/>
      <c r="N30" s="7">
        <v>3293237</v>
      </c>
      <c r="O30" s="7">
        <v>0</v>
      </c>
      <c r="P30" s="7"/>
      <c r="Q30" s="7">
        <v>0</v>
      </c>
      <c r="R30" s="7">
        <v>0</v>
      </c>
      <c r="S30" s="7"/>
      <c r="T30" s="7">
        <v>1549049</v>
      </c>
      <c r="U30" s="17">
        <v>0</v>
      </c>
    </row>
    <row r="31" spans="1:21">
      <c r="A31" t="s">
        <v>25</v>
      </c>
      <c r="B31" s="10">
        <v>78891.726473224815</v>
      </c>
      <c r="C31" s="7">
        <v>1731730.4067982254</v>
      </c>
      <c r="D31" s="7">
        <v>0</v>
      </c>
      <c r="E31" s="7">
        <v>0</v>
      </c>
      <c r="F31" s="17">
        <f t="shared" si="0"/>
        <v>1810622.1332714502</v>
      </c>
      <c r="K31" s="10">
        <v>290680</v>
      </c>
      <c r="L31" s="7">
        <v>0</v>
      </c>
      <c r="M31" s="7"/>
      <c r="N31" s="7">
        <v>4195650</v>
      </c>
      <c r="O31" s="7">
        <v>0</v>
      </c>
      <c r="P31" s="7"/>
      <c r="Q31" s="7">
        <v>0</v>
      </c>
      <c r="R31" s="7">
        <v>0</v>
      </c>
      <c r="S31" s="7"/>
      <c r="T31" s="7">
        <v>0</v>
      </c>
      <c r="U31" s="17">
        <v>0</v>
      </c>
    </row>
    <row r="32" spans="1:21">
      <c r="A32" t="s">
        <v>26</v>
      </c>
      <c r="B32" s="10">
        <v>0</v>
      </c>
      <c r="C32" s="7">
        <v>-9570.5660897070447</v>
      </c>
      <c r="D32" s="7">
        <v>0</v>
      </c>
      <c r="E32" s="7">
        <v>0</v>
      </c>
      <c r="F32" s="17">
        <f t="shared" si="0"/>
        <v>-9570.5660897070447</v>
      </c>
      <c r="K32" s="10"/>
      <c r="L32" s="7"/>
      <c r="M32" s="7"/>
      <c r="N32" s="7"/>
      <c r="O32" s="7"/>
      <c r="P32" s="7"/>
      <c r="Q32" s="7"/>
      <c r="R32" s="7"/>
      <c r="S32" s="7"/>
      <c r="T32" s="7"/>
      <c r="U32" s="17"/>
    </row>
    <row r="33" spans="1:21">
      <c r="A33" t="s">
        <v>27</v>
      </c>
      <c r="B33" s="10">
        <v>134851.86487357068</v>
      </c>
      <c r="C33" s="7">
        <v>2260868.8049359987</v>
      </c>
      <c r="D33" s="7">
        <v>0</v>
      </c>
      <c r="E33" s="7">
        <v>0</v>
      </c>
      <c r="F33" s="17">
        <f t="shared" si="0"/>
        <v>2395720.6698095696</v>
      </c>
      <c r="K33" s="10">
        <v>206913</v>
      </c>
      <c r="L33" s="7">
        <v>0</v>
      </c>
      <c r="M33" s="7"/>
      <c r="N33" s="7">
        <v>3856826</v>
      </c>
      <c r="O33" s="7">
        <v>0</v>
      </c>
      <c r="P33" s="7"/>
      <c r="Q33" s="7">
        <v>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-3286.558968830579</v>
      </c>
      <c r="C37" s="7">
        <v>-19817.343842263115</v>
      </c>
      <c r="D37" s="7">
        <v>0</v>
      </c>
      <c r="E37" s="7">
        <v>0</v>
      </c>
      <c r="F37" s="17">
        <f t="shared" si="0"/>
        <v>-23103.902811093692</v>
      </c>
      <c r="K37" s="10">
        <v>0</v>
      </c>
      <c r="L37" s="7">
        <v>0</v>
      </c>
      <c r="M37" s="7"/>
      <c r="N37" s="7">
        <v>90000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71043.839028421775</v>
      </c>
      <c r="D40" s="7">
        <v>0</v>
      </c>
      <c r="E40" s="7">
        <v>0</v>
      </c>
      <c r="F40" s="17">
        <f t="shared" si="1"/>
        <v>71043.839028421775</v>
      </c>
      <c r="K40" s="10">
        <v>0</v>
      </c>
      <c r="L40" s="7">
        <v>0</v>
      </c>
      <c r="M40" s="7"/>
      <c r="N40" s="7">
        <v>105700</v>
      </c>
      <c r="O40" s="7">
        <v>0</v>
      </c>
      <c r="P40" s="7"/>
      <c r="Q40" s="7">
        <v>0</v>
      </c>
      <c r="R40" s="7">
        <v>0</v>
      </c>
      <c r="S40" s="7"/>
      <c r="T40" s="7">
        <v>0</v>
      </c>
      <c r="U40" s="17">
        <v>0</v>
      </c>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19910.211501280894</v>
      </c>
      <c r="C47" s="7">
        <v>37359.161236831918</v>
      </c>
      <c r="D47" s="7">
        <v>0</v>
      </c>
      <c r="E47" s="7">
        <v>0</v>
      </c>
      <c r="F47" s="17">
        <f t="shared" si="1"/>
        <v>57269.372738112812</v>
      </c>
      <c r="K47" s="10"/>
      <c r="L47" s="7"/>
      <c r="M47" s="7"/>
      <c r="N47" s="7"/>
      <c r="O47" s="7"/>
      <c r="P47" s="7"/>
      <c r="Q47" s="7"/>
      <c r="R47" s="7"/>
      <c r="S47" s="7"/>
      <c r="T47" s="7"/>
      <c r="U47" s="17"/>
    </row>
    <row r="48" spans="1:21">
      <c r="A48" t="s">
        <v>42</v>
      </c>
      <c r="B48" s="10">
        <v>0</v>
      </c>
      <c r="C48" s="7">
        <v>49598.43069586021</v>
      </c>
      <c r="D48" s="7">
        <v>0</v>
      </c>
      <c r="E48" s="7">
        <v>0</v>
      </c>
      <c r="F48" s="17">
        <f t="shared" si="1"/>
        <v>49598.43069586021</v>
      </c>
      <c r="K48" s="10">
        <v>0</v>
      </c>
      <c r="L48" s="7">
        <v>0</v>
      </c>
      <c r="M48" s="7"/>
      <c r="N48" s="7">
        <v>122999</v>
      </c>
      <c r="O48" s="7">
        <v>0</v>
      </c>
      <c r="P48" s="7"/>
      <c r="Q48" s="7">
        <v>0</v>
      </c>
      <c r="R48" s="7">
        <v>0</v>
      </c>
      <c r="S48" s="7"/>
      <c r="T48" s="7">
        <v>0</v>
      </c>
      <c r="U48" s="17">
        <v>0</v>
      </c>
    </row>
    <row r="49" spans="1:21">
      <c r="A49" t="s">
        <v>43</v>
      </c>
      <c r="B49" s="10">
        <v>106800.99429016345</v>
      </c>
      <c r="C49" s="7">
        <v>8021137.4588366523</v>
      </c>
      <c r="D49" s="7">
        <v>0</v>
      </c>
      <c r="E49" s="7">
        <v>0</v>
      </c>
      <c r="F49" s="17">
        <f t="shared" si="1"/>
        <v>8127938.4531268161</v>
      </c>
      <c r="K49" s="10">
        <v>275000</v>
      </c>
      <c r="L49" s="7">
        <v>0</v>
      </c>
      <c r="M49" s="7"/>
      <c r="N49" s="7">
        <v>22000000</v>
      </c>
      <c r="O49" s="7">
        <v>0</v>
      </c>
      <c r="P49" s="7"/>
      <c r="Q49" s="7">
        <v>0</v>
      </c>
      <c r="R49" s="7">
        <v>0</v>
      </c>
      <c r="S49" s="7"/>
      <c r="T49" s="7">
        <v>0</v>
      </c>
      <c r="U49" s="17">
        <v>0</v>
      </c>
    </row>
    <row r="50" spans="1:21">
      <c r="A50" t="s">
        <v>44</v>
      </c>
      <c r="B50" s="10">
        <v>339254.35806020023</v>
      </c>
      <c r="C50" s="7">
        <v>24832503.855427504</v>
      </c>
      <c r="D50" s="7">
        <v>0</v>
      </c>
      <c r="E50" s="7">
        <v>0</v>
      </c>
      <c r="F50" s="17">
        <f t="shared" si="1"/>
        <v>25171758.213487703</v>
      </c>
      <c r="K50" s="10">
        <v>762331</v>
      </c>
      <c r="L50" s="7">
        <v>176299.48813199997</v>
      </c>
      <c r="M50" s="7"/>
      <c r="N50" s="7">
        <v>47665333</v>
      </c>
      <c r="O50" s="7">
        <v>11052967.271868002</v>
      </c>
      <c r="P50" s="7"/>
      <c r="Q50" s="7">
        <v>0</v>
      </c>
      <c r="R50" s="7">
        <v>0</v>
      </c>
      <c r="S50" s="7"/>
      <c r="T50" s="7">
        <v>0</v>
      </c>
      <c r="U50" s="17">
        <v>0</v>
      </c>
    </row>
    <row r="51" spans="1:21">
      <c r="A51" t="s">
        <v>45</v>
      </c>
      <c r="B51" s="10">
        <v>0</v>
      </c>
      <c r="C51" s="7">
        <v>-19311.336065409429</v>
      </c>
      <c r="D51" s="7">
        <v>0</v>
      </c>
      <c r="E51" s="7">
        <v>0</v>
      </c>
      <c r="F51" s="17">
        <f t="shared" si="1"/>
        <v>-19311.336065409429</v>
      </c>
      <c r="K51" s="10">
        <v>0</v>
      </c>
      <c r="L51" s="7">
        <v>0</v>
      </c>
      <c r="M51" s="7"/>
      <c r="N51" s="7">
        <v>67000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72884.564025025233</v>
      </c>
      <c r="C55" s="7">
        <v>1551555.8236478097</v>
      </c>
      <c r="D55" s="7">
        <v>0</v>
      </c>
      <c r="E55" s="7">
        <v>0</v>
      </c>
      <c r="F55" s="17">
        <f t="shared" si="1"/>
        <v>1624440.387672835</v>
      </c>
      <c r="K55" s="10">
        <v>778453</v>
      </c>
      <c r="L55" s="7">
        <v>76456</v>
      </c>
      <c r="M55" s="7"/>
      <c r="N55" s="7">
        <v>3419739</v>
      </c>
      <c r="O55" s="7">
        <v>2684689</v>
      </c>
      <c r="P55" s="7"/>
      <c r="Q55" s="7">
        <v>0</v>
      </c>
      <c r="R55" s="7">
        <v>0</v>
      </c>
      <c r="S55" s="7"/>
      <c r="T55" s="7">
        <v>51813</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5554751.2791944286</v>
      </c>
      <c r="C60" s="7">
        <f>SUM(C6:C58)</f>
        <v>147157743.54414713</v>
      </c>
      <c r="D60" s="7">
        <f>SUM(D6:D58)</f>
        <v>0</v>
      </c>
      <c r="E60" s="7">
        <f>SUM(E6:E58)</f>
        <v>0</v>
      </c>
      <c r="F60" s="17">
        <f>SUM(F6:F58)</f>
        <v>152712494.82334158</v>
      </c>
      <c r="K60" s="10">
        <f>SUM(K6:K58)</f>
        <v>13267750</v>
      </c>
      <c r="L60" s="7">
        <f>SUM(L6:L58)</f>
        <v>252755.48813199997</v>
      </c>
      <c r="M60" s="7"/>
      <c r="N60" s="7">
        <f>SUM(N6:N58)</f>
        <v>236361567</v>
      </c>
      <c r="O60" s="7">
        <f>SUM(O6:O58)</f>
        <v>21694354.321868002</v>
      </c>
      <c r="P60" s="7"/>
      <c r="Q60" s="7">
        <f>SUM(Q6:Q58)</f>
        <v>0</v>
      </c>
      <c r="R60" s="7">
        <f>SUM(R6:R58)</f>
        <v>0</v>
      </c>
      <c r="S60" s="7"/>
      <c r="T60" s="7">
        <f>SUM(T6:T58)</f>
        <v>2585649</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Heritage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16799.321640339935</v>
      </c>
      <c r="C6" s="7">
        <v>0</v>
      </c>
      <c r="D6" s="7">
        <v>19858.738065099438</v>
      </c>
      <c r="E6" s="7">
        <v>0</v>
      </c>
      <c r="F6" s="17">
        <f t="shared" ref="F6:F37" si="0">SUM(B6:E6)</f>
        <v>36658.059705439373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-127549.17004408684</v>
      </c>
      <c r="C8" s="7">
        <v>0</v>
      </c>
      <c r="D8" s="7">
        <v>480920.71072535467</v>
      </c>
      <c r="E8" s="7">
        <v>0</v>
      </c>
      <c r="F8" s="17">
        <f t="shared" si="0"/>
        <v>353371.54068126786</v>
      </c>
      <c r="H8" s="4" t="s">
        <v>64</v>
      </c>
      <c r="I8" s="13"/>
      <c r="K8" s="10"/>
      <c r="L8" s="7"/>
      <c r="M8" s="7"/>
      <c r="N8" s="7"/>
      <c r="O8" s="7"/>
      <c r="P8" s="7"/>
      <c r="Q8" s="7"/>
      <c r="R8" s="7"/>
      <c r="S8" s="7"/>
      <c r="T8" s="7"/>
      <c r="U8" s="17"/>
    </row>
    <row r="9" spans="1:21">
      <c r="A9" t="s">
        <v>3</v>
      </c>
      <c r="B9" s="10">
        <v>314369.7459687884</v>
      </c>
      <c r="C9" s="7">
        <v>0</v>
      </c>
      <c r="D9" s="7">
        <v>92446.908325817189</v>
      </c>
      <c r="E9" s="7">
        <v>0</v>
      </c>
      <c r="F9" s="17">
        <f t="shared" si="0"/>
        <v>406816.6542946056</v>
      </c>
      <c r="H9" s="4"/>
      <c r="I9" s="13"/>
      <c r="K9" s="10">
        <v>0</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243710845.06031418</v>
      </c>
      <c r="K10" s="10"/>
      <c r="L10" s="7"/>
      <c r="M10" s="7"/>
      <c r="N10" s="7"/>
      <c r="O10" s="7"/>
      <c r="P10" s="7"/>
      <c r="Q10" s="7"/>
      <c r="R10" s="7"/>
      <c r="S10" s="7"/>
      <c r="T10" s="7"/>
      <c r="U10" s="17"/>
    </row>
    <row r="11" spans="1:21">
      <c r="A11" t="s">
        <v>5</v>
      </c>
      <c r="B11" s="10">
        <v>77972.547626650397</v>
      </c>
      <c r="C11" s="7">
        <v>0</v>
      </c>
      <c r="D11" s="7">
        <v>1750722.6056115313</v>
      </c>
      <c r="E11" s="7">
        <v>0</v>
      </c>
      <c r="F11" s="17">
        <f t="shared" si="0"/>
        <v>1828695.1532381817</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24250487.134675507</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1939563.1999999997</v>
      </c>
      <c r="K14" s="10"/>
      <c r="L14" s="7"/>
      <c r="M14" s="7"/>
      <c r="N14" s="7"/>
      <c r="O14" s="7"/>
      <c r="P14" s="7"/>
      <c r="Q14" s="7"/>
      <c r="R14" s="7"/>
      <c r="S14" s="7"/>
      <c r="T14" s="7"/>
      <c r="U14" s="17"/>
    </row>
    <row r="15" spans="1:21">
      <c r="A15" t="s">
        <v>9</v>
      </c>
      <c r="B15" s="10">
        <v>312788.58306687232</v>
      </c>
      <c r="C15" s="7">
        <v>0</v>
      </c>
      <c r="D15" s="7">
        <v>49130425.318254292</v>
      </c>
      <c r="E15" s="7">
        <v>0</v>
      </c>
      <c r="F15" s="17">
        <f t="shared" si="0"/>
        <v>49443213.901321165</v>
      </c>
      <c r="H15" s="4" t="s">
        <v>69</v>
      </c>
      <c r="I15" s="14">
        <v>9166190.5200000014</v>
      </c>
      <c r="K15" s="10">
        <v>0</v>
      </c>
      <c r="L15" s="7">
        <v>0</v>
      </c>
      <c r="M15" s="7"/>
      <c r="N15" s="7">
        <v>0</v>
      </c>
      <c r="O15" s="7">
        <v>0</v>
      </c>
      <c r="P15" s="7"/>
      <c r="Q15" s="7">
        <v>9000000</v>
      </c>
      <c r="R15" s="7">
        <v>0</v>
      </c>
      <c r="S15" s="7"/>
      <c r="T15" s="7">
        <v>0</v>
      </c>
      <c r="U15" s="17">
        <v>0</v>
      </c>
    </row>
    <row r="16" spans="1:21">
      <c r="A16" t="s">
        <v>10</v>
      </c>
      <c r="B16" s="10">
        <v>583006.98935047234</v>
      </c>
      <c r="C16" s="7">
        <v>0</v>
      </c>
      <c r="D16" s="7">
        <v>9221666.5723695625</v>
      </c>
      <c r="E16" s="7">
        <v>0</v>
      </c>
      <c r="F16" s="17">
        <f t="shared" si="0"/>
        <v>9804673.5617200341</v>
      </c>
      <c r="H16" s="4" t="s">
        <v>70</v>
      </c>
      <c r="I16" s="14">
        <v>109511698.61035004</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58857.052418318111</v>
      </c>
      <c r="C18" s="7">
        <v>0</v>
      </c>
      <c r="D18" s="7">
        <v>-74958.530372854861</v>
      </c>
      <c r="E18" s="7">
        <v>0</v>
      </c>
      <c r="F18" s="17">
        <f t="shared" si="0"/>
        <v>-16101.477954536749</v>
      </c>
      <c r="H18" s="4" t="s">
        <v>71</v>
      </c>
      <c r="I18" s="14"/>
      <c r="K18" s="10"/>
      <c r="L18" s="7"/>
      <c r="M18" s="7"/>
      <c r="N18" s="7"/>
      <c r="O18" s="7"/>
      <c r="P18" s="7"/>
      <c r="Q18" s="7"/>
      <c r="R18" s="7"/>
      <c r="S18" s="7"/>
      <c r="T18" s="7"/>
      <c r="U18" s="17"/>
    </row>
    <row r="19" spans="1:21">
      <c r="A19" t="s">
        <v>13</v>
      </c>
      <c r="B19" s="10">
        <v>193278.41929328456</v>
      </c>
      <c r="C19" s="7">
        <v>0</v>
      </c>
      <c r="D19" s="7">
        <v>12158149.672954943</v>
      </c>
      <c r="E19" s="7">
        <v>0</v>
      </c>
      <c r="F19" s="17">
        <f t="shared" si="0"/>
        <v>12351428.092248227</v>
      </c>
      <c r="H19" s="4" t="s">
        <v>72</v>
      </c>
      <c r="I19" s="14">
        <v>122591863.19707078</v>
      </c>
      <c r="K19" s="10">
        <v>300000</v>
      </c>
      <c r="L19" s="7">
        <v>0</v>
      </c>
      <c r="M19" s="7"/>
      <c r="N19" s="7">
        <v>0</v>
      </c>
      <c r="O19" s="7">
        <v>0</v>
      </c>
      <c r="P19" s="7"/>
      <c r="Q19" s="7">
        <v>7500000</v>
      </c>
      <c r="R19" s="7">
        <v>0</v>
      </c>
      <c r="S19" s="7"/>
      <c r="T19" s="7">
        <v>0</v>
      </c>
      <c r="U19" s="17">
        <v>0</v>
      </c>
    </row>
    <row r="20" spans="1:21">
      <c r="A20" t="s">
        <v>14</v>
      </c>
      <c r="B20" s="10">
        <v>-163131.56321797057</v>
      </c>
      <c r="C20" s="7">
        <v>0</v>
      </c>
      <c r="D20" s="7">
        <v>1548284.6618460063</v>
      </c>
      <c r="E20" s="7">
        <v>0</v>
      </c>
      <c r="F20" s="17">
        <f t="shared" si="0"/>
        <v>1385153.0986280357</v>
      </c>
      <c r="H20" s="4" t="s">
        <v>73</v>
      </c>
      <c r="I20" s="14">
        <v>121260147.8632434</v>
      </c>
      <c r="K20" s="10"/>
      <c r="L20" s="7"/>
      <c r="M20" s="7"/>
      <c r="N20" s="7"/>
      <c r="O20" s="7"/>
      <c r="P20" s="7"/>
      <c r="Q20" s="7"/>
      <c r="R20" s="7"/>
      <c r="S20" s="7"/>
      <c r="T20" s="7"/>
      <c r="U20" s="17"/>
    </row>
    <row r="21" spans="1:21">
      <c r="A21" t="s">
        <v>15</v>
      </c>
      <c r="B21" s="10">
        <v>493663.47221528058</v>
      </c>
      <c r="C21" s="7">
        <v>0</v>
      </c>
      <c r="D21" s="7">
        <v>679047.64509465767</v>
      </c>
      <c r="E21" s="7">
        <v>0</v>
      </c>
      <c r="F21" s="17">
        <f t="shared" si="0"/>
        <v>1172711.1173099382</v>
      </c>
      <c r="H21" s="4" t="s">
        <v>74</v>
      </c>
      <c r="I21" s="14"/>
      <c r="K21" s="10">
        <v>0</v>
      </c>
      <c r="L21" s="7">
        <v>0</v>
      </c>
      <c r="M21" s="7"/>
      <c r="N21" s="7">
        <v>0</v>
      </c>
      <c r="O21" s="7">
        <v>0</v>
      </c>
      <c r="P21" s="7"/>
      <c r="Q21" s="7">
        <v>100000</v>
      </c>
      <c r="R21" s="7">
        <v>0</v>
      </c>
      <c r="S21" s="7"/>
      <c r="T21" s="7">
        <v>0</v>
      </c>
      <c r="U21" s="17">
        <v>0</v>
      </c>
    </row>
    <row r="22" spans="1:21">
      <c r="A22" t="s">
        <v>16</v>
      </c>
      <c r="B22" s="10">
        <v>74144.618312568491</v>
      </c>
      <c r="C22" s="7">
        <v>0</v>
      </c>
      <c r="D22" s="7">
        <v>94755.666443990136</v>
      </c>
      <c r="E22" s="7">
        <v>0</v>
      </c>
      <c r="F22" s="17">
        <f t="shared" si="0"/>
        <v>168900.28475655863</v>
      </c>
      <c r="H22" s="4" t="s">
        <v>75</v>
      </c>
      <c r="I22" s="14">
        <v>0</v>
      </c>
      <c r="K22" s="10"/>
      <c r="L22" s="7"/>
      <c r="M22" s="7"/>
      <c r="N22" s="7"/>
      <c r="O22" s="7"/>
      <c r="P22" s="7"/>
      <c r="Q22" s="7"/>
      <c r="R22" s="7"/>
      <c r="S22" s="7"/>
      <c r="T22" s="7"/>
      <c r="U22" s="17"/>
    </row>
    <row r="23" spans="1:21">
      <c r="A23" t="s">
        <v>17</v>
      </c>
      <c r="B23" s="10">
        <v>98408.209716894606</v>
      </c>
      <c r="C23" s="7">
        <v>0</v>
      </c>
      <c r="D23" s="7">
        <v>18247296.342013683</v>
      </c>
      <c r="E23" s="7">
        <v>0</v>
      </c>
      <c r="F23" s="17">
        <f t="shared" si="0"/>
        <v>18345704.551730577</v>
      </c>
      <c r="H23" s="4" t="s">
        <v>76</v>
      </c>
      <c r="I23" s="14"/>
      <c r="K23" s="10">
        <v>0</v>
      </c>
      <c r="L23" s="7">
        <v>0</v>
      </c>
      <c r="M23" s="7"/>
      <c r="N23" s="7">
        <v>0</v>
      </c>
      <c r="O23" s="7">
        <v>0</v>
      </c>
      <c r="P23" s="7"/>
      <c r="Q23" s="7">
        <v>4954893</v>
      </c>
      <c r="R23" s="7">
        <v>0</v>
      </c>
      <c r="S23" s="7"/>
      <c r="T23" s="7">
        <v>0</v>
      </c>
      <c r="U23" s="17">
        <v>0</v>
      </c>
    </row>
    <row r="24" spans="1:21">
      <c r="A24" t="s">
        <v>18</v>
      </c>
      <c r="B24" s="10">
        <v>250146.82781251936</v>
      </c>
      <c r="C24" s="7">
        <v>0</v>
      </c>
      <c r="D24" s="7">
        <v>811107.15161153302</v>
      </c>
      <c r="E24" s="7">
        <v>0</v>
      </c>
      <c r="F24" s="17">
        <f t="shared" si="0"/>
        <v>1061253.9794240524</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26398.095077629485</v>
      </c>
      <c r="C26" s="7">
        <v>0</v>
      </c>
      <c r="D26" s="7">
        <v>640002.13514731056</v>
      </c>
      <c r="E26" s="7">
        <v>0</v>
      </c>
      <c r="F26" s="17">
        <f t="shared" si="0"/>
        <v>666400.23022493999</v>
      </c>
      <c r="H26" s="4" t="s">
        <v>78</v>
      </c>
      <c r="I26" s="14">
        <f>SUM(I10:I16)-SUM(I19:I24)</f>
        <v>144726773.46502554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144726773.46502551</v>
      </c>
      <c r="K27" s="10"/>
      <c r="L27" s="7"/>
      <c r="M27" s="7"/>
      <c r="N27" s="7"/>
      <c r="O27" s="7"/>
      <c r="P27" s="7"/>
      <c r="Q27" s="7"/>
      <c r="R27" s="7"/>
      <c r="S27" s="7"/>
      <c r="T27" s="7"/>
      <c r="U27" s="17"/>
    </row>
    <row r="28" spans="1:21">
      <c r="A28" t="s">
        <v>22</v>
      </c>
      <c r="B28" s="10">
        <v>-32288.586658713426</v>
      </c>
      <c r="C28" s="7">
        <v>0</v>
      </c>
      <c r="D28" s="7">
        <v>611399.87864600273</v>
      </c>
      <c r="E28" s="7">
        <v>0</v>
      </c>
      <c r="F28" s="17">
        <f t="shared" si="0"/>
        <v>579111.29198728933</v>
      </c>
      <c r="H28" s="23"/>
      <c r="I28" s="25"/>
      <c r="K28" s="10"/>
      <c r="L28" s="7"/>
      <c r="M28" s="7"/>
      <c r="N28" s="7"/>
      <c r="O28" s="7"/>
      <c r="P28" s="7"/>
      <c r="Q28" s="7"/>
      <c r="R28" s="7"/>
      <c r="S28" s="7"/>
      <c r="T28" s="7"/>
      <c r="U28" s="17"/>
    </row>
    <row r="29" spans="1:21">
      <c r="A29" t="s">
        <v>23</v>
      </c>
      <c r="B29" s="10">
        <v>57665.828292364749</v>
      </c>
      <c r="C29" s="7">
        <v>0</v>
      </c>
      <c r="D29" s="7">
        <v>105614.41096090653</v>
      </c>
      <c r="E29" s="7">
        <v>0</v>
      </c>
      <c r="F29" s="17">
        <f t="shared" si="0"/>
        <v>163280.23925327128</v>
      </c>
      <c r="K29" s="10"/>
      <c r="L29" s="7"/>
      <c r="M29" s="7"/>
      <c r="N29" s="7"/>
      <c r="O29" s="7"/>
      <c r="P29" s="7"/>
      <c r="Q29" s="7"/>
      <c r="R29" s="7"/>
      <c r="S29" s="7"/>
      <c r="T29" s="7"/>
      <c r="U29" s="17"/>
    </row>
    <row r="30" spans="1:21">
      <c r="A30" t="s">
        <v>24</v>
      </c>
      <c r="B30" s="10">
        <v>25339.160803807317</v>
      </c>
      <c r="C30" s="7">
        <v>0</v>
      </c>
      <c r="D30" s="7">
        <v>-379754.09077099425</v>
      </c>
      <c r="E30" s="7">
        <v>0</v>
      </c>
      <c r="F30" s="17">
        <f t="shared" si="0"/>
        <v>-354414.92996718694</v>
      </c>
      <c r="K30" s="10"/>
      <c r="L30" s="7"/>
      <c r="M30" s="7"/>
      <c r="N30" s="7"/>
      <c r="O30" s="7"/>
      <c r="P30" s="7"/>
      <c r="Q30" s="7"/>
      <c r="R30" s="7"/>
      <c r="S30" s="7"/>
      <c r="T30" s="7"/>
      <c r="U30" s="17"/>
    </row>
    <row r="31" spans="1:21">
      <c r="A31" t="s">
        <v>25</v>
      </c>
      <c r="B31" s="10">
        <v>334409.02383339894</v>
      </c>
      <c r="C31" s="7">
        <v>0</v>
      </c>
      <c r="D31" s="7">
        <v>10484215.43633084</v>
      </c>
      <c r="E31" s="7">
        <v>0</v>
      </c>
      <c r="F31" s="17">
        <f t="shared" si="0"/>
        <v>10818624.46016424</v>
      </c>
      <c r="K31" s="10"/>
      <c r="L31" s="7"/>
      <c r="M31" s="7"/>
      <c r="N31" s="7"/>
      <c r="O31" s="7"/>
      <c r="P31" s="7"/>
      <c r="Q31" s="7"/>
      <c r="R31" s="7"/>
      <c r="S31" s="7"/>
      <c r="T31" s="7"/>
      <c r="U31" s="17"/>
    </row>
    <row r="32" spans="1:21">
      <c r="A32" t="s">
        <v>26</v>
      </c>
      <c r="B32" s="10">
        <v>51711.666313095375</v>
      </c>
      <c r="C32" s="7">
        <v>0</v>
      </c>
      <c r="D32" s="7">
        <v>216246.3710211984</v>
      </c>
      <c r="E32" s="7">
        <v>0</v>
      </c>
      <c r="F32" s="17">
        <f t="shared" si="0"/>
        <v>267958.03733429377</v>
      </c>
      <c r="K32" s="10"/>
      <c r="L32" s="7"/>
      <c r="M32" s="7"/>
      <c r="N32" s="7"/>
      <c r="O32" s="7"/>
      <c r="P32" s="7"/>
      <c r="Q32" s="7"/>
      <c r="R32" s="7"/>
      <c r="S32" s="7"/>
      <c r="T32" s="7"/>
      <c r="U32" s="17"/>
    </row>
    <row r="33" spans="1:21">
      <c r="A33" t="s">
        <v>27</v>
      </c>
      <c r="B33" s="10">
        <v>284385.52377513965</v>
      </c>
      <c r="C33" s="7">
        <v>0</v>
      </c>
      <c r="D33" s="7">
        <v>1267436.8898374783</v>
      </c>
      <c r="E33" s="7">
        <v>0</v>
      </c>
      <c r="F33" s="17">
        <f t="shared" si="0"/>
        <v>1551822.4136126179</v>
      </c>
      <c r="K33" s="10"/>
      <c r="L33" s="7"/>
      <c r="M33" s="7"/>
      <c r="N33" s="7"/>
      <c r="O33" s="7"/>
      <c r="P33" s="7"/>
      <c r="Q33" s="7"/>
      <c r="R33" s="7"/>
      <c r="S33" s="7"/>
      <c r="T33" s="7"/>
      <c r="U33" s="17"/>
    </row>
    <row r="34" spans="1:21">
      <c r="A34" t="s">
        <v>28</v>
      </c>
      <c r="B34" s="10">
        <v>10113.979068313985</v>
      </c>
      <c r="C34" s="7">
        <v>0</v>
      </c>
      <c r="D34" s="7">
        <v>4243927.0506351292</v>
      </c>
      <c r="E34" s="7">
        <v>0</v>
      </c>
      <c r="F34" s="17">
        <f t="shared" si="0"/>
        <v>4254041.0297034429</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-327137.16944012872</v>
      </c>
      <c r="C37" s="7">
        <v>0</v>
      </c>
      <c r="D37" s="7">
        <v>512233.60137161554</v>
      </c>
      <c r="E37" s="7">
        <v>0</v>
      </c>
      <c r="F37" s="17">
        <f t="shared" si="0"/>
        <v>185096.43193148682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365309.08593107387</v>
      </c>
      <c r="C39" s="7">
        <v>0</v>
      </c>
      <c r="D39" s="7">
        <v>2657133.0910206544</v>
      </c>
      <c r="E39" s="7">
        <v>0</v>
      </c>
      <c r="F39" s="17">
        <f t="shared" si="1"/>
        <v>3022442.1769517283</v>
      </c>
      <c r="K39" s="10"/>
      <c r="L39" s="7"/>
      <c r="M39" s="7"/>
      <c r="N39" s="7"/>
      <c r="O39" s="7"/>
      <c r="P39" s="7"/>
      <c r="Q39" s="7"/>
      <c r="R39" s="7"/>
      <c r="S39" s="7"/>
      <c r="T39" s="7"/>
      <c r="U39" s="17"/>
    </row>
    <row r="40" spans="1:21">
      <c r="A40" t="s">
        <v>34</v>
      </c>
      <c r="B40" s="10">
        <v>11003.513276528998</v>
      </c>
      <c r="C40" s="7">
        <v>0</v>
      </c>
      <c r="D40" s="7">
        <v>-28521.051465958764</v>
      </c>
      <c r="E40" s="7">
        <v>0</v>
      </c>
      <c r="F40" s="17">
        <f t="shared" si="1"/>
        <v>-17517.538189429768</v>
      </c>
      <c r="K40" s="10"/>
      <c r="L40" s="7"/>
      <c r="M40" s="7"/>
      <c r="N40" s="7"/>
      <c r="O40" s="7"/>
      <c r="P40" s="7"/>
      <c r="Q40" s="7"/>
      <c r="R40" s="7"/>
      <c r="S40" s="7"/>
      <c r="T40" s="7"/>
      <c r="U40" s="17"/>
    </row>
    <row r="41" spans="1:21">
      <c r="A41" t="s">
        <v>35</v>
      </c>
      <c r="B41" s="10">
        <v>125531.32385609765</v>
      </c>
      <c r="C41" s="7">
        <v>0</v>
      </c>
      <c r="D41" s="7">
        <v>11358594.905202402</v>
      </c>
      <c r="E41" s="7">
        <v>0</v>
      </c>
      <c r="F41" s="17">
        <f t="shared" si="1"/>
        <v>11484126.2290585</v>
      </c>
      <c r="K41" s="10"/>
      <c r="L41" s="7"/>
      <c r="M41" s="7"/>
      <c r="N41" s="7"/>
      <c r="O41" s="7"/>
      <c r="P41" s="7"/>
      <c r="Q41" s="7"/>
      <c r="R41" s="7"/>
      <c r="S41" s="7"/>
      <c r="T41" s="7"/>
      <c r="U41" s="17"/>
    </row>
    <row r="42" spans="1:21">
      <c r="A42" t="s">
        <v>36</v>
      </c>
      <c r="B42" s="10">
        <v>69837.561472352623</v>
      </c>
      <c r="C42" s="7">
        <v>0</v>
      </c>
      <c r="D42" s="7">
        <v>461054.02982005582</v>
      </c>
      <c r="E42" s="7">
        <v>0</v>
      </c>
      <c r="F42" s="17">
        <f t="shared" si="1"/>
        <v>530891.59129240841</v>
      </c>
      <c r="K42" s="10">
        <v>235000</v>
      </c>
      <c r="L42" s="7">
        <v>0</v>
      </c>
      <c r="M42" s="7"/>
      <c r="N42" s="7">
        <v>265000</v>
      </c>
      <c r="O42" s="7">
        <v>0</v>
      </c>
      <c r="P42" s="7"/>
      <c r="Q42" s="7">
        <v>0</v>
      </c>
      <c r="R42" s="7">
        <v>0</v>
      </c>
      <c r="S42" s="7"/>
      <c r="T42" s="7">
        <v>0</v>
      </c>
      <c r="U42" s="17">
        <v>0</v>
      </c>
    </row>
    <row r="43" spans="1:21">
      <c r="A43" t="s">
        <v>37</v>
      </c>
      <c r="B43" s="10">
        <v>28864.249994795562</v>
      </c>
      <c r="C43" s="7">
        <v>0</v>
      </c>
      <c r="D43" s="7">
        <v>156484.85419535803</v>
      </c>
      <c r="E43" s="7">
        <v>0</v>
      </c>
      <c r="F43" s="17">
        <f t="shared" si="1"/>
        <v>185349.10419015359</v>
      </c>
      <c r="K43" s="10"/>
      <c r="L43" s="7"/>
      <c r="M43" s="7"/>
      <c r="N43" s="7"/>
      <c r="O43" s="7"/>
      <c r="P43" s="7"/>
      <c r="Q43" s="7"/>
      <c r="R43" s="7"/>
      <c r="S43" s="7"/>
      <c r="T43" s="7"/>
      <c r="U43" s="17"/>
    </row>
    <row r="44" spans="1:21">
      <c r="A44" t="s">
        <v>38</v>
      </c>
      <c r="B44" s="10">
        <v>91606.503426502837</v>
      </c>
      <c r="C44" s="7">
        <v>0</v>
      </c>
      <c r="D44" s="7">
        <v>928273.90939219669</v>
      </c>
      <c r="E44" s="7">
        <v>0</v>
      </c>
      <c r="F44" s="17">
        <f t="shared" si="1"/>
        <v>1019880.4128186995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159745.67702832562</v>
      </c>
      <c r="C47" s="7">
        <v>0</v>
      </c>
      <c r="D47" s="7">
        <v>2698545.7313890094</v>
      </c>
      <c r="E47" s="7">
        <v>0</v>
      </c>
      <c r="F47" s="17">
        <f t="shared" si="1"/>
        <v>2858291.4084173348</v>
      </c>
      <c r="K47" s="10"/>
      <c r="L47" s="7"/>
      <c r="M47" s="7"/>
      <c r="N47" s="7"/>
      <c r="O47" s="7"/>
      <c r="P47" s="7"/>
      <c r="Q47" s="7"/>
      <c r="R47" s="7"/>
      <c r="S47" s="7"/>
      <c r="T47" s="7"/>
      <c r="U47" s="17"/>
    </row>
    <row r="48" spans="1:21">
      <c r="A48" t="s">
        <v>42</v>
      </c>
      <c r="B48" s="10">
        <v>12146.448943559835</v>
      </c>
      <c r="C48" s="7">
        <v>0</v>
      </c>
      <c r="D48" s="7">
        <v>156352.51488584492</v>
      </c>
      <c r="E48" s="7">
        <v>0</v>
      </c>
      <c r="F48" s="17">
        <f t="shared" si="1"/>
        <v>168498.96382940476</v>
      </c>
      <c r="K48" s="10"/>
      <c r="L48" s="7"/>
      <c r="M48" s="7"/>
      <c r="N48" s="7"/>
      <c r="O48" s="7"/>
      <c r="P48" s="7"/>
      <c r="Q48" s="7"/>
      <c r="R48" s="7"/>
      <c r="S48" s="7"/>
      <c r="T48" s="7"/>
      <c r="U48" s="17"/>
    </row>
    <row r="49" spans="1:21">
      <c r="A49" t="s">
        <v>43</v>
      </c>
      <c r="B49" s="10">
        <v>27017.507236358681</v>
      </c>
      <c r="C49" s="7">
        <v>0</v>
      </c>
      <c r="D49" s="7">
        <v>1228475.9955890481</v>
      </c>
      <c r="E49" s="7">
        <v>0</v>
      </c>
      <c r="F49" s="17">
        <f t="shared" si="1"/>
        <v>1255493.5028254068</v>
      </c>
      <c r="K49" s="10"/>
      <c r="L49" s="7"/>
      <c r="M49" s="7"/>
      <c r="N49" s="7"/>
      <c r="O49" s="7"/>
      <c r="P49" s="7"/>
      <c r="Q49" s="7"/>
      <c r="R49" s="7"/>
      <c r="S49" s="7"/>
      <c r="T49" s="7"/>
      <c r="U49" s="17"/>
    </row>
    <row r="50" spans="1:21">
      <c r="A50" t="s">
        <v>44</v>
      </c>
      <c r="B50" s="10">
        <v>183643.09552903462</v>
      </c>
      <c r="C50" s="7">
        <v>0</v>
      </c>
      <c r="D50" s="7">
        <v>2625425.7544072038</v>
      </c>
      <c r="E50" s="7">
        <v>0</v>
      </c>
      <c r="F50" s="17">
        <f t="shared" si="1"/>
        <v>2809068.8499362385</v>
      </c>
      <c r="K50" s="10">
        <v>599995</v>
      </c>
      <c r="L50" s="7">
        <v>0</v>
      </c>
      <c r="M50" s="7"/>
      <c r="N50" s="7">
        <v>0</v>
      </c>
      <c r="O50" s="7">
        <v>0</v>
      </c>
      <c r="P50" s="7"/>
      <c r="Q50" s="7">
        <v>0</v>
      </c>
      <c r="R50" s="7">
        <v>0</v>
      </c>
      <c r="S50" s="7"/>
      <c r="T50" s="7">
        <v>0</v>
      </c>
      <c r="U50" s="17">
        <v>0</v>
      </c>
    </row>
    <row r="51" spans="1:21">
      <c r="A51" t="s">
        <v>45</v>
      </c>
      <c r="B51" s="10">
        <v>86465.941313459771</v>
      </c>
      <c r="C51" s="7">
        <v>0</v>
      </c>
      <c r="D51" s="7">
        <v>38321.37044798999</v>
      </c>
      <c r="E51" s="7">
        <v>0</v>
      </c>
      <c r="F51" s="17">
        <f t="shared" si="1"/>
        <v>124787.31176144976</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-4429.9287757269049</v>
      </c>
      <c r="C53" s="7">
        <v>0</v>
      </c>
      <c r="D53" s="7">
        <v>1826884.9378375304</v>
      </c>
      <c r="E53" s="7">
        <v>0</v>
      </c>
      <c r="F53" s="17">
        <f t="shared" si="1"/>
        <v>1822455.0090618036</v>
      </c>
      <c r="K53" s="10"/>
      <c r="L53" s="7"/>
      <c r="M53" s="7"/>
      <c r="N53" s="7"/>
      <c r="O53" s="7"/>
      <c r="P53" s="7"/>
      <c r="Q53" s="7"/>
      <c r="R53" s="7"/>
      <c r="S53" s="7"/>
      <c r="T53" s="7"/>
      <c r="U53" s="17"/>
    </row>
    <row r="54" spans="1:21">
      <c r="A54" t="s">
        <v>48</v>
      </c>
      <c r="B54" s="10">
        <v>20262.078456208928</v>
      </c>
      <c r="C54" s="7">
        <v>0</v>
      </c>
      <c r="D54" s="7">
        <v>1771190.5412059668</v>
      </c>
      <c r="E54" s="7">
        <v>0</v>
      </c>
      <c r="F54" s="17">
        <f t="shared" si="1"/>
        <v>1791452.6196621759</v>
      </c>
      <c r="K54" s="10"/>
      <c r="L54" s="7"/>
      <c r="M54" s="7"/>
      <c r="N54" s="7"/>
      <c r="O54" s="7"/>
      <c r="P54" s="7"/>
      <c r="Q54" s="7"/>
      <c r="R54" s="7"/>
      <c r="S54" s="7"/>
      <c r="T54" s="7"/>
      <c r="U54" s="17"/>
    </row>
    <row r="55" spans="1:21">
      <c r="A55" t="s">
        <v>49</v>
      </c>
      <c r="B55" s="10">
        <v>-80835.085941162935</v>
      </c>
      <c r="C55" s="7">
        <v>0</v>
      </c>
      <c r="D55" s="7">
        <v>-70472.876159330423</v>
      </c>
      <c r="E55" s="7">
        <v>0</v>
      </c>
      <c r="F55" s="17">
        <f t="shared" si="1"/>
        <v>-151307.96210049337</v>
      </c>
      <c r="K55" s="10"/>
      <c r="L55" s="7"/>
      <c r="M55" s="7"/>
      <c r="N55" s="7"/>
      <c r="O55" s="7"/>
      <c r="P55" s="7"/>
      <c r="Q55" s="7"/>
      <c r="R55" s="7"/>
      <c r="S55" s="7"/>
      <c r="T55" s="7"/>
      <c r="U55" s="17"/>
    </row>
    <row r="56" spans="1:21">
      <c r="A56" t="s">
        <v>50</v>
      </c>
      <c r="B56" s="10">
        <v>287270.40842140524</v>
      </c>
      <c r="C56" s="7">
        <v>0</v>
      </c>
      <c r="D56" s="7">
        <v>3061193.655740812</v>
      </c>
      <c r="E56" s="7">
        <v>0</v>
      </c>
      <c r="F56" s="17">
        <f t="shared" si="1"/>
        <v>3348464.0641622171</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3996790.9553936548</v>
      </c>
      <c r="C60" s="7">
        <f>SUM(C6:C58)</f>
        <v>0</v>
      </c>
      <c r="D60" s="7">
        <f>SUM(D6:D58)</f>
        <v>140729982.50963187</v>
      </c>
      <c r="E60" s="7">
        <f>SUM(E6:E58)</f>
        <v>0</v>
      </c>
      <c r="F60" s="17">
        <f>SUM(F6:F58)</f>
        <v>144726773.46502551</v>
      </c>
      <c r="K60" s="10">
        <f>SUM(K6:K58)</f>
        <v>1134995</v>
      </c>
      <c r="L60" s="7">
        <f>SUM(L6:L58)</f>
        <v>0</v>
      </c>
      <c r="M60" s="7"/>
      <c r="N60" s="7">
        <f>SUM(N6:N58)</f>
        <v>265000</v>
      </c>
      <c r="O60" s="7">
        <f>SUM(O6:O58)</f>
        <v>0</v>
      </c>
      <c r="P60" s="7"/>
      <c r="Q60" s="7">
        <f>SUM(Q6:Q58)</f>
        <v>21554893</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Italic"National States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57079.826379381338</v>
      </c>
      <c r="C6" s="7">
        <v>622447.63156264368</v>
      </c>
      <c r="D6" s="7">
        <v>109140.51914355147</v>
      </c>
      <c r="E6" s="7">
        <v>0</v>
      </c>
      <c r="F6" s="17">
        <f t="shared" ref="F6:F37" si="0">SUM(B6:E6)</f>
        <v>788667.97708557651</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4652553</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1016861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353451.99999999994</v>
      </c>
      <c r="K14" s="10"/>
      <c r="L14" s="7"/>
      <c r="M14" s="7"/>
      <c r="N14" s="7"/>
      <c r="O14" s="7"/>
      <c r="P14" s="7"/>
      <c r="Q14" s="7"/>
      <c r="R14" s="7"/>
      <c r="S14" s="7"/>
      <c r="T14" s="7"/>
      <c r="U14" s="17"/>
    </row>
    <row r="15" spans="1:21">
      <c r="A15" t="s">
        <v>9</v>
      </c>
      <c r="B15" s="10">
        <v>20601.417495784946</v>
      </c>
      <c r="C15" s="7">
        <v>127159.83794104552</v>
      </c>
      <c r="D15" s="7">
        <v>4235863.5963579733</v>
      </c>
      <c r="E15" s="7">
        <v>0</v>
      </c>
      <c r="F15" s="17">
        <f t="shared" si="0"/>
        <v>4383624.8517948035</v>
      </c>
      <c r="H15" s="4" t="s">
        <v>69</v>
      </c>
      <c r="I15" s="14">
        <v>534226.42999999993</v>
      </c>
      <c r="K15" s="10"/>
      <c r="L15" s="7"/>
      <c r="M15" s="7"/>
      <c r="N15" s="7"/>
      <c r="O15" s="7"/>
      <c r="P15" s="7"/>
      <c r="Q15" s="7"/>
      <c r="R15" s="7"/>
      <c r="S15" s="7"/>
      <c r="T15" s="7"/>
      <c r="U15" s="17"/>
    </row>
    <row r="16" spans="1:21">
      <c r="A16" t="s">
        <v>10</v>
      </c>
      <c r="B16" s="10">
        <v>899.24579640343768</v>
      </c>
      <c r="C16" s="7">
        <v>0</v>
      </c>
      <c r="D16" s="7">
        <v>71937.014782607948</v>
      </c>
      <c r="E16" s="7">
        <v>0</v>
      </c>
      <c r="F16" s="17">
        <f t="shared" si="0"/>
        <v>72836.260579011388</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732116</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316112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-1274180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732.99510603223609</v>
      </c>
      <c r="C24" s="7">
        <v>68921.37501294988</v>
      </c>
      <c r="D24" s="7">
        <v>1682.3725311883793</v>
      </c>
      <c r="E24" s="7">
        <v>0</v>
      </c>
      <c r="F24" s="17">
        <f t="shared" si="0"/>
        <v>71336.74265017049</v>
      </c>
      <c r="H24" s="4" t="s">
        <v>77</v>
      </c>
      <c r="I24" s="14">
        <v>1397619</v>
      </c>
      <c r="K24" s="10">
        <v>10971</v>
      </c>
      <c r="L24" s="7">
        <v>0</v>
      </c>
      <c r="M24" s="7"/>
      <c r="N24" s="7">
        <v>0</v>
      </c>
      <c r="O24" s="7">
        <v>0</v>
      </c>
      <c r="P24" s="7"/>
      <c r="Q24" s="7">
        <v>148029</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5385425.4299999997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5385425.4299999997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15950.014235247996</v>
      </c>
      <c r="C30" s="7">
        <v>34174.921317449698</v>
      </c>
      <c r="D30" s="7">
        <v>18834.66233774005</v>
      </c>
      <c r="E30" s="7">
        <v>0</v>
      </c>
      <c r="F30" s="17">
        <f t="shared" si="0"/>
        <v>68959.597890437741</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95263.499012849963</v>
      </c>
      <c r="C60" s="7">
        <f>SUM(C6:C58)</f>
        <v>852703.76583408879</v>
      </c>
      <c r="D60" s="7">
        <f>SUM(D6:D58)</f>
        <v>4437458.165153061</v>
      </c>
      <c r="E60" s="7">
        <f>SUM(E6:E58)</f>
        <v>0</v>
      </c>
      <c r="F60" s="17">
        <f>SUM(F6:F58)</f>
        <v>5385425.4299999997</v>
      </c>
      <c r="K60" s="10">
        <f>SUM(K6:K58)</f>
        <v>10971</v>
      </c>
      <c r="L60" s="7">
        <f>SUM(L6:L58)</f>
        <v>0</v>
      </c>
      <c r="M60" s="7"/>
      <c r="N60" s="7">
        <f>SUM(N6:N58)</f>
        <v>0</v>
      </c>
      <c r="O60" s="7">
        <f>SUM(O6:O58)</f>
        <v>0</v>
      </c>
      <c r="P60" s="7"/>
      <c r="Q60" s="7">
        <f>SUM(Q6:Q58)</f>
        <v>148029</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Life Assurance Corporation&amp;R&amp;"Geneva,Bold"UNAUDITED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419337.32613618043</v>
      </c>
      <c r="C6" s="7">
        <v>0</v>
      </c>
      <c r="D6" s="7">
        <v>0</v>
      </c>
      <c r="E6" s="7">
        <v>0</v>
      </c>
      <c r="F6" s="17">
        <f t="shared" ref="F6:F37" si="0">SUM(B6:E6)</f>
        <v>419337.32613618043</v>
      </c>
      <c r="K6" s="10">
        <v>450000</v>
      </c>
      <c r="L6" s="7">
        <v>0</v>
      </c>
      <c r="M6" s="7"/>
      <c r="N6" s="7">
        <v>0</v>
      </c>
      <c r="O6" s="7">
        <v>0</v>
      </c>
      <c r="P6" s="7"/>
      <c r="Q6" s="7">
        <v>0</v>
      </c>
      <c r="R6" s="7">
        <v>0</v>
      </c>
      <c r="S6" s="7"/>
      <c r="T6" s="7">
        <v>0</v>
      </c>
      <c r="U6" s="17">
        <v>0</v>
      </c>
    </row>
    <row r="7" spans="1:21">
      <c r="A7" t="s">
        <v>1</v>
      </c>
      <c r="B7" s="10">
        <v>40754.671854507782</v>
      </c>
      <c r="C7" s="7">
        <v>0</v>
      </c>
      <c r="D7" s="7">
        <v>0</v>
      </c>
      <c r="E7" s="7">
        <v>0</v>
      </c>
      <c r="F7" s="17">
        <f t="shared" si="0"/>
        <v>40754.671854507782</v>
      </c>
      <c r="H7" s="22"/>
      <c r="I7" s="24"/>
      <c r="K7" s="10">
        <v>62205</v>
      </c>
      <c r="L7" s="7">
        <v>0</v>
      </c>
      <c r="M7" s="7"/>
      <c r="N7" s="7">
        <v>0</v>
      </c>
      <c r="O7" s="7">
        <v>0</v>
      </c>
      <c r="P7" s="7"/>
      <c r="Q7" s="7">
        <v>0</v>
      </c>
      <c r="R7" s="7">
        <v>0</v>
      </c>
      <c r="S7" s="7"/>
      <c r="T7" s="7">
        <v>0</v>
      </c>
      <c r="U7" s="17">
        <v>0</v>
      </c>
    </row>
    <row r="8" spans="1:21">
      <c r="A8" t="s">
        <v>2</v>
      </c>
      <c r="B8" s="10">
        <v>1412567.7420054092</v>
      </c>
      <c r="C8" s="7">
        <v>0</v>
      </c>
      <c r="D8" s="7">
        <v>0</v>
      </c>
      <c r="E8" s="7">
        <v>0</v>
      </c>
      <c r="F8" s="17">
        <f t="shared" si="0"/>
        <v>1412567.7420054092</v>
      </c>
      <c r="H8" s="4" t="s">
        <v>64</v>
      </c>
      <c r="I8" s="13"/>
      <c r="K8" s="10">
        <v>1022583</v>
      </c>
      <c r="L8" s="7">
        <v>0</v>
      </c>
      <c r="M8" s="7"/>
      <c r="N8" s="7">
        <v>0</v>
      </c>
      <c r="O8" s="7">
        <v>0</v>
      </c>
      <c r="P8" s="7"/>
      <c r="Q8" s="7">
        <v>0</v>
      </c>
      <c r="R8" s="7">
        <v>0</v>
      </c>
      <c r="S8" s="7"/>
      <c r="T8" s="7">
        <v>0</v>
      </c>
      <c r="U8" s="17">
        <v>0</v>
      </c>
    </row>
    <row r="9" spans="1:21">
      <c r="A9" t="s">
        <v>3</v>
      </c>
      <c r="B9" s="10">
        <v>302632.92236171488</v>
      </c>
      <c r="C9" s="7">
        <v>0</v>
      </c>
      <c r="D9" s="7">
        <v>0</v>
      </c>
      <c r="E9" s="7">
        <v>0</v>
      </c>
      <c r="F9" s="17">
        <f t="shared" si="0"/>
        <v>302632.92236171488</v>
      </c>
      <c r="H9" s="4"/>
      <c r="I9" s="13"/>
      <c r="K9" s="10">
        <v>361600</v>
      </c>
      <c r="L9" s="7">
        <v>0</v>
      </c>
      <c r="M9" s="7"/>
      <c r="N9" s="7">
        <v>0</v>
      </c>
      <c r="O9" s="7">
        <v>0</v>
      </c>
      <c r="P9" s="7"/>
      <c r="Q9" s="7">
        <v>0</v>
      </c>
      <c r="R9" s="7">
        <v>0</v>
      </c>
      <c r="S9" s="7"/>
      <c r="T9" s="7">
        <v>0</v>
      </c>
      <c r="U9" s="17">
        <v>0</v>
      </c>
    </row>
    <row r="10" spans="1:21">
      <c r="A10" t="s">
        <v>4</v>
      </c>
      <c r="B10" s="10">
        <v>7411108.5338582434</v>
      </c>
      <c r="C10" s="7">
        <v>0</v>
      </c>
      <c r="D10" s="7">
        <v>0</v>
      </c>
      <c r="E10" s="7">
        <v>0</v>
      </c>
      <c r="F10" s="17">
        <f t="shared" si="0"/>
        <v>7411108.5338582434</v>
      </c>
      <c r="H10" s="4" t="s">
        <v>65</v>
      </c>
      <c r="I10" s="14">
        <v>217603141</v>
      </c>
      <c r="K10" s="10">
        <v>8346598</v>
      </c>
      <c r="L10" s="7">
        <v>575000</v>
      </c>
      <c r="M10" s="7"/>
      <c r="N10" s="7">
        <v>0</v>
      </c>
      <c r="O10" s="7">
        <v>0</v>
      </c>
      <c r="P10" s="7"/>
      <c r="Q10" s="7">
        <v>0</v>
      </c>
      <c r="R10" s="7">
        <v>0</v>
      </c>
      <c r="S10" s="7"/>
      <c r="T10" s="7">
        <v>0</v>
      </c>
      <c r="U10" s="17">
        <v>0</v>
      </c>
    </row>
    <row r="11" spans="1:21">
      <c r="A11" t="s">
        <v>5</v>
      </c>
      <c r="B11" s="10">
        <v>0</v>
      </c>
      <c r="C11" s="7">
        <v>0</v>
      </c>
      <c r="D11" s="7">
        <v>0</v>
      </c>
      <c r="E11" s="7">
        <v>0</v>
      </c>
      <c r="F11" s="17">
        <f t="shared" si="0"/>
        <v>0</v>
      </c>
      <c r="H11" s="4"/>
      <c r="I11" s="14"/>
      <c r="K11" s="10">
        <v>3932</v>
      </c>
      <c r="L11" s="7">
        <v>0</v>
      </c>
      <c r="M11" s="7"/>
      <c r="N11" s="7">
        <v>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154971.08543150959</v>
      </c>
      <c r="C13" s="7">
        <v>0</v>
      </c>
      <c r="D13" s="7">
        <v>0</v>
      </c>
      <c r="E13" s="7">
        <v>0</v>
      </c>
      <c r="F13" s="17">
        <f t="shared" si="0"/>
        <v>154971.08543150959</v>
      </c>
      <c r="H13" s="4" t="s">
        <v>67</v>
      </c>
      <c r="I13" s="14">
        <v>0</v>
      </c>
      <c r="K13" s="10">
        <v>145000</v>
      </c>
      <c r="L13" s="7">
        <v>0</v>
      </c>
      <c r="M13" s="7"/>
      <c r="N13" s="7">
        <v>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5509532.0088101616</v>
      </c>
      <c r="C15" s="7">
        <v>0</v>
      </c>
      <c r="D15" s="7">
        <v>0</v>
      </c>
      <c r="E15" s="7">
        <v>0</v>
      </c>
      <c r="F15" s="17">
        <f t="shared" si="0"/>
        <v>5509532.0088101616</v>
      </c>
      <c r="H15" s="4" t="s">
        <v>69</v>
      </c>
      <c r="I15" s="14">
        <v>1829586.3099999998</v>
      </c>
      <c r="K15" s="10">
        <v>5300000</v>
      </c>
      <c r="L15" s="7">
        <v>0</v>
      </c>
      <c r="M15" s="7"/>
      <c r="N15" s="7">
        <v>0</v>
      </c>
      <c r="O15" s="7">
        <v>0</v>
      </c>
      <c r="P15" s="7"/>
      <c r="Q15" s="7">
        <v>0</v>
      </c>
      <c r="R15" s="7">
        <v>0</v>
      </c>
      <c r="S15" s="7"/>
      <c r="T15" s="7">
        <v>0</v>
      </c>
      <c r="U15" s="17">
        <v>0</v>
      </c>
    </row>
    <row r="16" spans="1:21">
      <c r="A16" t="s">
        <v>10</v>
      </c>
      <c r="B16" s="10">
        <v>682925.19136574829</v>
      </c>
      <c r="C16" s="7">
        <v>0</v>
      </c>
      <c r="D16" s="7">
        <v>0</v>
      </c>
      <c r="E16" s="7">
        <v>0</v>
      </c>
      <c r="F16" s="17">
        <f t="shared" si="0"/>
        <v>682925.19136574829</v>
      </c>
      <c r="H16" s="4" t="s">
        <v>70</v>
      </c>
      <c r="I16" s="14">
        <v>0</v>
      </c>
      <c r="K16" s="10">
        <v>690574</v>
      </c>
      <c r="L16" s="7">
        <v>0</v>
      </c>
      <c r="M16" s="7"/>
      <c r="N16" s="7">
        <v>0</v>
      </c>
      <c r="O16" s="7">
        <v>0</v>
      </c>
      <c r="P16" s="7"/>
      <c r="Q16" s="7">
        <v>0</v>
      </c>
      <c r="R16" s="7">
        <v>0</v>
      </c>
      <c r="S16" s="7"/>
      <c r="T16" s="7">
        <v>0</v>
      </c>
      <c r="U16" s="17">
        <v>0</v>
      </c>
    </row>
    <row r="17" spans="1:21">
      <c r="A17" t="s">
        <v>11</v>
      </c>
      <c r="B17" s="10">
        <v>192587.19836998763</v>
      </c>
      <c r="C17" s="7">
        <v>0</v>
      </c>
      <c r="D17" s="7">
        <v>0</v>
      </c>
      <c r="E17" s="7">
        <v>0</v>
      </c>
      <c r="F17" s="17">
        <f t="shared" si="0"/>
        <v>192587.19836998763</v>
      </c>
      <c r="H17" s="4"/>
      <c r="I17" s="14"/>
      <c r="K17" s="10">
        <v>244756</v>
      </c>
      <c r="L17" s="7">
        <v>0</v>
      </c>
      <c r="M17" s="7"/>
      <c r="N17" s="7">
        <v>0</v>
      </c>
      <c r="O17" s="7">
        <v>0</v>
      </c>
      <c r="P17" s="7"/>
      <c r="Q17" s="7">
        <v>0</v>
      </c>
      <c r="R17" s="7">
        <v>0</v>
      </c>
      <c r="S17" s="7"/>
      <c r="T17" s="7">
        <v>0</v>
      </c>
      <c r="U17" s="17">
        <v>0</v>
      </c>
    </row>
    <row r="18" spans="1:21">
      <c r="A18" t="s">
        <v>12</v>
      </c>
      <c r="B18" s="10">
        <v>266729.46315720858</v>
      </c>
      <c r="C18" s="7">
        <v>0</v>
      </c>
      <c r="D18" s="7">
        <v>0</v>
      </c>
      <c r="E18" s="7">
        <v>0</v>
      </c>
      <c r="F18" s="17">
        <f t="shared" si="0"/>
        <v>266729.46315720858</v>
      </c>
      <c r="H18" s="4" t="s">
        <v>71</v>
      </c>
      <c r="I18" s="14"/>
      <c r="K18" s="10">
        <v>300000</v>
      </c>
      <c r="L18" s="7">
        <v>0</v>
      </c>
      <c r="M18" s="7"/>
      <c r="N18" s="7">
        <v>0</v>
      </c>
      <c r="O18" s="7">
        <v>0</v>
      </c>
      <c r="P18" s="7"/>
      <c r="Q18" s="7">
        <v>0</v>
      </c>
      <c r="R18" s="7">
        <v>0</v>
      </c>
      <c r="S18" s="7"/>
      <c r="T18" s="7">
        <v>0</v>
      </c>
      <c r="U18" s="17">
        <v>0</v>
      </c>
    </row>
    <row r="19" spans="1:21">
      <c r="A19" t="s">
        <v>13</v>
      </c>
      <c r="B19" s="10">
        <v>10449717.340491874</v>
      </c>
      <c r="C19" s="7">
        <v>0</v>
      </c>
      <c r="D19" s="7">
        <v>0</v>
      </c>
      <c r="E19" s="7">
        <v>0</v>
      </c>
      <c r="F19" s="17">
        <f t="shared" si="0"/>
        <v>10449717.340491874</v>
      </c>
      <c r="H19" s="4" t="s">
        <v>72</v>
      </c>
      <c r="I19" s="14">
        <v>126221667.79000001</v>
      </c>
      <c r="K19" s="10">
        <v>11650000</v>
      </c>
      <c r="L19" s="7">
        <v>858300</v>
      </c>
      <c r="M19" s="7"/>
      <c r="N19" s="7">
        <v>0</v>
      </c>
      <c r="O19" s="7">
        <v>0</v>
      </c>
      <c r="P19" s="7"/>
      <c r="Q19" s="7">
        <v>0</v>
      </c>
      <c r="R19" s="7">
        <v>0</v>
      </c>
      <c r="S19" s="7"/>
      <c r="T19" s="7">
        <v>0</v>
      </c>
      <c r="U19" s="17">
        <v>0</v>
      </c>
    </row>
    <row r="20" spans="1:21">
      <c r="A20" t="s">
        <v>14</v>
      </c>
      <c r="B20" s="10">
        <v>2298861.0901678549</v>
      </c>
      <c r="C20" s="7">
        <v>0</v>
      </c>
      <c r="D20" s="7">
        <v>0</v>
      </c>
      <c r="E20" s="7">
        <v>0</v>
      </c>
      <c r="F20" s="17">
        <f t="shared" si="0"/>
        <v>2298861.0901678549</v>
      </c>
      <c r="H20" s="4" t="s">
        <v>73</v>
      </c>
      <c r="I20" s="14">
        <v>-145086</v>
      </c>
      <c r="K20" s="10">
        <v>2008337</v>
      </c>
      <c r="L20" s="7">
        <v>0</v>
      </c>
      <c r="M20" s="7"/>
      <c r="N20" s="7">
        <v>0</v>
      </c>
      <c r="O20" s="7">
        <v>0</v>
      </c>
      <c r="P20" s="7"/>
      <c r="Q20" s="7">
        <v>0</v>
      </c>
      <c r="R20" s="7">
        <v>0</v>
      </c>
      <c r="S20" s="7"/>
      <c r="T20" s="7">
        <v>0</v>
      </c>
      <c r="U20" s="17">
        <v>0</v>
      </c>
    </row>
    <row r="21" spans="1:21">
      <c r="A21" t="s">
        <v>15</v>
      </c>
      <c r="B21" s="10">
        <v>1902687.8725436789</v>
      </c>
      <c r="C21" s="7">
        <v>0</v>
      </c>
      <c r="D21" s="7">
        <v>0</v>
      </c>
      <c r="E21" s="7">
        <v>0</v>
      </c>
      <c r="F21" s="17">
        <f t="shared" si="0"/>
        <v>1902687.8725436789</v>
      </c>
      <c r="H21" s="4" t="s">
        <v>74</v>
      </c>
      <c r="I21" s="14"/>
      <c r="K21" s="10">
        <v>2015000</v>
      </c>
      <c r="L21" s="7">
        <v>0</v>
      </c>
      <c r="M21" s="7"/>
      <c r="N21" s="7">
        <v>0</v>
      </c>
      <c r="O21" s="7">
        <v>0</v>
      </c>
      <c r="P21" s="7"/>
      <c r="Q21" s="7">
        <v>0</v>
      </c>
      <c r="R21" s="7">
        <v>0</v>
      </c>
      <c r="S21" s="7"/>
      <c r="T21" s="7">
        <v>0</v>
      </c>
      <c r="U21" s="17">
        <v>0</v>
      </c>
    </row>
    <row r="22" spans="1:21">
      <c r="A22" t="s">
        <v>16</v>
      </c>
      <c r="B22" s="10">
        <v>439474.47075615922</v>
      </c>
      <c r="C22" s="7">
        <v>0</v>
      </c>
      <c r="D22" s="7">
        <v>0</v>
      </c>
      <c r="E22" s="7">
        <v>0</v>
      </c>
      <c r="F22" s="17">
        <f t="shared" si="0"/>
        <v>439474.47075615922</v>
      </c>
      <c r="H22" s="4" t="s">
        <v>75</v>
      </c>
      <c r="I22" s="14">
        <v>10862914</v>
      </c>
      <c r="K22" s="10">
        <v>442000</v>
      </c>
      <c r="L22" s="7">
        <v>0</v>
      </c>
      <c r="M22" s="7"/>
      <c r="N22" s="7">
        <v>0</v>
      </c>
      <c r="O22" s="7">
        <v>0</v>
      </c>
      <c r="P22" s="7"/>
      <c r="Q22" s="7">
        <v>0</v>
      </c>
      <c r="R22" s="7">
        <v>0</v>
      </c>
      <c r="S22" s="7"/>
      <c r="T22" s="7">
        <v>0</v>
      </c>
      <c r="U22" s="17">
        <v>0</v>
      </c>
    </row>
    <row r="23" spans="1:21">
      <c r="A23" t="s">
        <v>17</v>
      </c>
      <c r="B23" s="10">
        <v>342842.10603941261</v>
      </c>
      <c r="C23" s="7">
        <v>0</v>
      </c>
      <c r="D23" s="7">
        <v>0</v>
      </c>
      <c r="E23" s="7">
        <v>0</v>
      </c>
      <c r="F23" s="17">
        <f t="shared" si="0"/>
        <v>342842.10603941261</v>
      </c>
      <c r="H23" s="4" t="s">
        <v>76</v>
      </c>
      <c r="I23" s="14"/>
      <c r="K23" s="10">
        <v>429971</v>
      </c>
      <c r="L23" s="7">
        <v>104347</v>
      </c>
      <c r="M23" s="7"/>
      <c r="N23" s="7">
        <v>0</v>
      </c>
      <c r="O23" s="7">
        <v>0</v>
      </c>
      <c r="P23" s="7"/>
      <c r="Q23" s="7">
        <v>0</v>
      </c>
      <c r="R23" s="7">
        <v>0</v>
      </c>
      <c r="S23" s="7"/>
      <c r="T23" s="7">
        <v>0</v>
      </c>
      <c r="U23" s="17">
        <v>0</v>
      </c>
    </row>
    <row r="24" spans="1:21">
      <c r="A24" t="s">
        <v>18</v>
      </c>
      <c r="B24" s="10">
        <v>0</v>
      </c>
      <c r="C24" s="7">
        <v>0</v>
      </c>
      <c r="D24" s="7">
        <v>0</v>
      </c>
      <c r="E24" s="7">
        <v>0</v>
      </c>
      <c r="F24" s="17">
        <f t="shared" si="0"/>
        <v>0</v>
      </c>
      <c r="H24" s="4" t="s">
        <v>77</v>
      </c>
      <c r="I24" s="14">
        <v>642701</v>
      </c>
      <c r="K24" s="10"/>
      <c r="L24" s="7"/>
      <c r="M24" s="7"/>
      <c r="N24" s="7"/>
      <c r="O24" s="7"/>
      <c r="P24" s="7"/>
      <c r="Q24" s="7"/>
      <c r="R24" s="7"/>
      <c r="S24" s="7"/>
      <c r="T24" s="7"/>
      <c r="U24" s="17"/>
    </row>
    <row r="25" spans="1:21">
      <c r="A25" t="s">
        <v>19</v>
      </c>
      <c r="B25" s="10">
        <v>300683.14907437615</v>
      </c>
      <c r="C25" s="7">
        <v>0</v>
      </c>
      <c r="D25" s="7">
        <v>0</v>
      </c>
      <c r="E25" s="7">
        <v>0</v>
      </c>
      <c r="F25" s="17">
        <f t="shared" si="0"/>
        <v>300683.14907437615</v>
      </c>
      <c r="H25" s="4"/>
      <c r="I25" s="14"/>
      <c r="K25" s="10">
        <v>310000</v>
      </c>
      <c r="L25" s="7">
        <v>0</v>
      </c>
      <c r="M25" s="7"/>
      <c r="N25" s="7">
        <v>0</v>
      </c>
      <c r="O25" s="7">
        <v>0</v>
      </c>
      <c r="P25" s="7"/>
      <c r="Q25" s="7">
        <v>0</v>
      </c>
      <c r="R25" s="7">
        <v>0</v>
      </c>
      <c r="S25" s="7"/>
      <c r="T25" s="7">
        <v>0</v>
      </c>
      <c r="U25" s="17">
        <v>0</v>
      </c>
    </row>
    <row r="26" spans="1:21">
      <c r="A26" t="s">
        <v>20</v>
      </c>
      <c r="B26" s="10">
        <v>1221664.9594813942</v>
      </c>
      <c r="C26" s="7">
        <v>0</v>
      </c>
      <c r="D26" s="7">
        <v>0</v>
      </c>
      <c r="E26" s="7">
        <v>0</v>
      </c>
      <c r="F26" s="17">
        <f t="shared" si="0"/>
        <v>1221664.9594813942</v>
      </c>
      <c r="H26" s="4" t="s">
        <v>78</v>
      </c>
      <c r="I26" s="14">
        <f>SUM(I10:I16)-SUM(I19:I24)</f>
        <v>81850530.519999981</v>
      </c>
      <c r="K26" s="10">
        <v>1500000</v>
      </c>
      <c r="L26" s="7">
        <v>0</v>
      </c>
      <c r="M26" s="7"/>
      <c r="N26" s="7">
        <v>0</v>
      </c>
      <c r="O26" s="7">
        <v>0</v>
      </c>
      <c r="P26" s="7"/>
      <c r="Q26" s="7">
        <v>0</v>
      </c>
      <c r="R26" s="7">
        <v>0</v>
      </c>
      <c r="S26" s="7"/>
      <c r="T26" s="7">
        <v>0</v>
      </c>
      <c r="U26" s="17">
        <v>0</v>
      </c>
    </row>
    <row r="27" spans="1:21">
      <c r="A27" t="s">
        <v>21</v>
      </c>
      <c r="B27" s="10">
        <v>1901869.3488141873</v>
      </c>
      <c r="C27" s="7">
        <v>0</v>
      </c>
      <c r="D27" s="7">
        <v>0</v>
      </c>
      <c r="E27" s="7">
        <v>0</v>
      </c>
      <c r="F27" s="17">
        <f t="shared" si="0"/>
        <v>1901869.3488141873</v>
      </c>
      <c r="H27" s="4" t="s">
        <v>79</v>
      </c>
      <c r="I27" s="14">
        <f>+F60</f>
        <v>81850530.519999996</v>
      </c>
      <c r="K27" s="10">
        <v>2500000</v>
      </c>
      <c r="L27" s="7">
        <v>0</v>
      </c>
      <c r="M27" s="7"/>
      <c r="N27" s="7">
        <v>0</v>
      </c>
      <c r="O27" s="7">
        <v>0</v>
      </c>
      <c r="P27" s="7"/>
      <c r="Q27" s="7">
        <v>0</v>
      </c>
      <c r="R27" s="7">
        <v>0</v>
      </c>
      <c r="S27" s="7"/>
      <c r="T27" s="7">
        <v>0</v>
      </c>
      <c r="U27" s="17">
        <v>0</v>
      </c>
    </row>
    <row r="28" spans="1:21">
      <c r="A28" t="s">
        <v>22</v>
      </c>
      <c r="B28" s="10">
        <v>1569652.1275235445</v>
      </c>
      <c r="C28" s="7">
        <v>0</v>
      </c>
      <c r="D28" s="7">
        <v>0</v>
      </c>
      <c r="E28" s="7">
        <v>0</v>
      </c>
      <c r="F28" s="17">
        <f t="shared" si="0"/>
        <v>1569652.1275235445</v>
      </c>
      <c r="H28" s="23"/>
      <c r="I28" s="25"/>
      <c r="K28" s="10">
        <v>1700000</v>
      </c>
      <c r="L28" s="7">
        <v>0</v>
      </c>
      <c r="M28" s="7"/>
      <c r="N28" s="7">
        <v>0</v>
      </c>
      <c r="O28" s="7">
        <v>0</v>
      </c>
      <c r="P28" s="7"/>
      <c r="Q28" s="7">
        <v>0</v>
      </c>
      <c r="R28" s="7">
        <v>0</v>
      </c>
      <c r="S28" s="7"/>
      <c r="T28" s="7">
        <v>0</v>
      </c>
      <c r="U28" s="17">
        <v>0</v>
      </c>
    </row>
    <row r="29" spans="1:21">
      <c r="A29" t="s">
        <v>23</v>
      </c>
      <c r="B29" s="10">
        <v>712320.61344478803</v>
      </c>
      <c r="C29" s="7">
        <v>0</v>
      </c>
      <c r="D29" s="7">
        <v>0</v>
      </c>
      <c r="E29" s="7">
        <v>0</v>
      </c>
      <c r="F29" s="17">
        <f t="shared" si="0"/>
        <v>712320.61344478803</v>
      </c>
      <c r="K29" s="10">
        <v>777000</v>
      </c>
      <c r="L29" s="7">
        <v>0</v>
      </c>
      <c r="M29" s="7"/>
      <c r="N29" s="7">
        <v>0</v>
      </c>
      <c r="O29" s="7">
        <v>0</v>
      </c>
      <c r="P29" s="7"/>
      <c r="Q29" s="7">
        <v>0</v>
      </c>
      <c r="R29" s="7">
        <v>0</v>
      </c>
      <c r="S29" s="7"/>
      <c r="T29" s="7">
        <v>0</v>
      </c>
      <c r="U29" s="17">
        <v>0</v>
      </c>
    </row>
    <row r="30" spans="1:21">
      <c r="A30" t="s">
        <v>24</v>
      </c>
      <c r="B30" s="10">
        <v>159665.15281585438</v>
      </c>
      <c r="C30" s="7">
        <v>0</v>
      </c>
      <c r="D30" s="7">
        <v>0</v>
      </c>
      <c r="E30" s="7">
        <v>0</v>
      </c>
      <c r="F30" s="17">
        <f t="shared" si="0"/>
        <v>159665.15281585438</v>
      </c>
      <c r="K30" s="10">
        <v>119338</v>
      </c>
      <c r="L30" s="7">
        <v>0</v>
      </c>
      <c r="M30" s="7"/>
      <c r="N30" s="7">
        <v>0</v>
      </c>
      <c r="O30" s="7">
        <v>0</v>
      </c>
      <c r="P30" s="7"/>
      <c r="Q30" s="7">
        <v>0</v>
      </c>
      <c r="R30" s="7">
        <v>0</v>
      </c>
      <c r="S30" s="7"/>
      <c r="T30" s="7">
        <v>0</v>
      </c>
      <c r="U30" s="17">
        <v>0</v>
      </c>
    </row>
    <row r="31" spans="1:21">
      <c r="A31" t="s">
        <v>25</v>
      </c>
      <c r="B31" s="10">
        <v>897913.8049387394</v>
      </c>
      <c r="C31" s="7">
        <v>0</v>
      </c>
      <c r="D31" s="7">
        <v>0</v>
      </c>
      <c r="E31" s="7">
        <v>0</v>
      </c>
      <c r="F31" s="17">
        <f t="shared" si="0"/>
        <v>897913.8049387394</v>
      </c>
      <c r="K31" s="10">
        <v>1217018</v>
      </c>
      <c r="L31" s="7">
        <v>0</v>
      </c>
      <c r="M31" s="7"/>
      <c r="N31" s="7">
        <v>0</v>
      </c>
      <c r="O31" s="7">
        <v>0</v>
      </c>
      <c r="P31" s="7"/>
      <c r="Q31" s="7">
        <v>0</v>
      </c>
      <c r="R31" s="7">
        <v>0</v>
      </c>
      <c r="S31" s="7"/>
      <c r="T31" s="7">
        <v>0</v>
      </c>
      <c r="U31" s="17">
        <v>0</v>
      </c>
    </row>
    <row r="32" spans="1:21">
      <c r="A32" t="s">
        <v>26</v>
      </c>
      <c r="B32" s="10">
        <v>229543.96056337073</v>
      </c>
      <c r="C32" s="7">
        <v>0</v>
      </c>
      <c r="D32" s="7">
        <v>0</v>
      </c>
      <c r="E32" s="7">
        <v>0</v>
      </c>
      <c r="F32" s="17">
        <f t="shared" si="0"/>
        <v>229543.96056337073</v>
      </c>
      <c r="K32" s="10">
        <v>320000</v>
      </c>
      <c r="L32" s="7">
        <v>0</v>
      </c>
      <c r="M32" s="7"/>
      <c r="N32" s="7">
        <v>0</v>
      </c>
      <c r="O32" s="7">
        <v>0</v>
      </c>
      <c r="P32" s="7"/>
      <c r="Q32" s="7">
        <v>0</v>
      </c>
      <c r="R32" s="7">
        <v>0</v>
      </c>
      <c r="S32" s="7"/>
      <c r="T32" s="7">
        <v>0</v>
      </c>
      <c r="U32" s="17">
        <v>0</v>
      </c>
    </row>
    <row r="33" spans="1:21">
      <c r="A33" t="s">
        <v>27</v>
      </c>
      <c r="B33" s="10">
        <v>646968.33795116819</v>
      </c>
      <c r="C33" s="7">
        <v>0</v>
      </c>
      <c r="D33" s="7">
        <v>0</v>
      </c>
      <c r="E33" s="7">
        <v>0</v>
      </c>
      <c r="F33" s="17">
        <f t="shared" si="0"/>
        <v>646968.33795116819</v>
      </c>
      <c r="K33" s="10">
        <v>540000</v>
      </c>
      <c r="L33" s="7">
        <v>0</v>
      </c>
      <c r="M33" s="7"/>
      <c r="N33" s="7">
        <v>0</v>
      </c>
      <c r="O33" s="7">
        <v>0</v>
      </c>
      <c r="P33" s="7"/>
      <c r="Q33" s="7">
        <v>0</v>
      </c>
      <c r="R33" s="7">
        <v>0</v>
      </c>
      <c r="S33" s="7"/>
      <c r="T33" s="7">
        <v>0</v>
      </c>
      <c r="U33" s="17">
        <v>0</v>
      </c>
    </row>
    <row r="34" spans="1:21">
      <c r="A34" t="s">
        <v>28</v>
      </c>
      <c r="B34" s="10">
        <v>184142.10905112242</v>
      </c>
      <c r="C34" s="7">
        <v>0</v>
      </c>
      <c r="D34" s="7">
        <v>0</v>
      </c>
      <c r="E34" s="7">
        <v>0</v>
      </c>
      <c r="F34" s="17">
        <f t="shared" si="0"/>
        <v>184142.10905112242</v>
      </c>
      <c r="K34" s="10">
        <v>179400</v>
      </c>
      <c r="L34" s="7">
        <v>0</v>
      </c>
      <c r="M34" s="7"/>
      <c r="N34" s="7">
        <v>0</v>
      </c>
      <c r="O34" s="7">
        <v>0</v>
      </c>
      <c r="P34" s="7"/>
      <c r="Q34" s="7">
        <v>0</v>
      </c>
      <c r="R34" s="7">
        <v>0</v>
      </c>
      <c r="S34" s="7"/>
      <c r="T34" s="7">
        <v>0</v>
      </c>
      <c r="U34" s="17">
        <v>0</v>
      </c>
    </row>
    <row r="35" spans="1:21">
      <c r="A35" t="s">
        <v>29</v>
      </c>
      <c r="B35" s="10">
        <v>161811.83323224128</v>
      </c>
      <c r="C35" s="7">
        <v>0</v>
      </c>
      <c r="D35" s="7">
        <v>0</v>
      </c>
      <c r="E35" s="7">
        <v>0</v>
      </c>
      <c r="F35" s="17">
        <f t="shared" si="0"/>
        <v>161811.83323224128</v>
      </c>
      <c r="K35" s="10">
        <v>200542</v>
      </c>
      <c r="L35" s="7">
        <v>206121</v>
      </c>
      <c r="M35" s="7"/>
      <c r="N35" s="7">
        <v>0</v>
      </c>
      <c r="O35" s="7">
        <v>0</v>
      </c>
      <c r="P35" s="7"/>
      <c r="Q35" s="7">
        <v>0</v>
      </c>
      <c r="R35" s="7">
        <v>0</v>
      </c>
      <c r="S35" s="7"/>
      <c r="T35" s="7">
        <v>0</v>
      </c>
      <c r="U35" s="17">
        <v>0</v>
      </c>
    </row>
    <row r="36" spans="1:21">
      <c r="A36" t="s">
        <v>30</v>
      </c>
      <c r="B36" s="10">
        <v>10895880.170414867</v>
      </c>
      <c r="C36" s="7">
        <v>0</v>
      </c>
      <c r="D36" s="7">
        <v>0</v>
      </c>
      <c r="E36" s="7">
        <v>0</v>
      </c>
      <c r="F36" s="17">
        <f t="shared" si="0"/>
        <v>10895880.170414867</v>
      </c>
      <c r="K36" s="10">
        <v>10750000</v>
      </c>
      <c r="L36" s="7">
        <v>500000</v>
      </c>
      <c r="M36" s="7"/>
      <c r="N36" s="7">
        <v>0</v>
      </c>
      <c r="O36" s="7">
        <v>0</v>
      </c>
      <c r="P36" s="7"/>
      <c r="Q36" s="7">
        <v>0</v>
      </c>
      <c r="R36" s="7">
        <v>0</v>
      </c>
      <c r="S36" s="7"/>
      <c r="T36" s="7">
        <v>0</v>
      </c>
      <c r="U36" s="17">
        <v>0</v>
      </c>
    </row>
    <row r="37" spans="1:21">
      <c r="A37" t="s">
        <v>31</v>
      </c>
      <c r="B37" s="10">
        <v>255340.08130461094</v>
      </c>
      <c r="C37" s="7">
        <v>0</v>
      </c>
      <c r="D37" s="7">
        <v>0</v>
      </c>
      <c r="E37" s="7">
        <v>0</v>
      </c>
      <c r="F37" s="17">
        <f t="shared" si="0"/>
        <v>255340.08130461094</v>
      </c>
      <c r="K37" s="10">
        <v>250000</v>
      </c>
      <c r="L37" s="7">
        <v>0</v>
      </c>
      <c r="M37" s="7"/>
      <c r="N37" s="7">
        <v>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709100.58770679927</v>
      </c>
      <c r="C39" s="7">
        <v>0</v>
      </c>
      <c r="D39" s="7">
        <v>0</v>
      </c>
      <c r="E39" s="7">
        <v>0</v>
      </c>
      <c r="F39" s="17">
        <f t="shared" si="1"/>
        <v>709100.58770679927</v>
      </c>
      <c r="K39" s="10">
        <v>750000</v>
      </c>
      <c r="L39" s="7">
        <v>0</v>
      </c>
      <c r="M39" s="7"/>
      <c r="N39" s="7">
        <v>0</v>
      </c>
      <c r="O39" s="7">
        <v>0</v>
      </c>
      <c r="P39" s="7"/>
      <c r="Q39" s="7">
        <v>0</v>
      </c>
      <c r="R39" s="7">
        <v>0</v>
      </c>
      <c r="S39" s="7"/>
      <c r="T39" s="7">
        <v>0</v>
      </c>
      <c r="U39" s="17">
        <v>0</v>
      </c>
    </row>
    <row r="40" spans="1:21">
      <c r="A40" t="s">
        <v>34</v>
      </c>
      <c r="B40" s="10">
        <v>583656.59074446221</v>
      </c>
      <c r="C40" s="7">
        <v>0</v>
      </c>
      <c r="D40" s="7">
        <v>0</v>
      </c>
      <c r="E40" s="7">
        <v>0</v>
      </c>
      <c r="F40" s="17">
        <f t="shared" si="1"/>
        <v>583656.59074446221</v>
      </c>
      <c r="K40" s="10">
        <v>627400</v>
      </c>
      <c r="L40" s="7">
        <v>0</v>
      </c>
      <c r="M40" s="7"/>
      <c r="N40" s="7">
        <v>0</v>
      </c>
      <c r="O40" s="7">
        <v>0</v>
      </c>
      <c r="P40" s="7"/>
      <c r="Q40" s="7">
        <v>0</v>
      </c>
      <c r="R40" s="7">
        <v>0</v>
      </c>
      <c r="S40" s="7"/>
      <c r="T40" s="7">
        <v>0</v>
      </c>
      <c r="U40" s="17">
        <v>0</v>
      </c>
    </row>
    <row r="41" spans="1:21">
      <c r="A41" t="s">
        <v>35</v>
      </c>
      <c r="B41" s="10">
        <v>2521643.6711229165</v>
      </c>
      <c r="C41" s="7">
        <v>0</v>
      </c>
      <c r="D41" s="7">
        <v>0</v>
      </c>
      <c r="E41" s="7">
        <v>0</v>
      </c>
      <c r="F41" s="17">
        <f t="shared" si="1"/>
        <v>2521643.6711229165</v>
      </c>
      <c r="K41" s="10">
        <v>2450000</v>
      </c>
      <c r="L41" s="7">
        <v>0</v>
      </c>
      <c r="M41" s="7"/>
      <c r="N41" s="7">
        <v>0</v>
      </c>
      <c r="O41" s="7">
        <v>0</v>
      </c>
      <c r="P41" s="7"/>
      <c r="Q41" s="7">
        <v>0</v>
      </c>
      <c r="R41" s="7">
        <v>0</v>
      </c>
      <c r="S41" s="7"/>
      <c r="T41" s="7">
        <v>0</v>
      </c>
      <c r="U41" s="17">
        <v>0</v>
      </c>
    </row>
    <row r="42" spans="1:21">
      <c r="A42" t="s">
        <v>36</v>
      </c>
      <c r="B42" s="10">
        <v>883811.13611642644</v>
      </c>
      <c r="C42" s="7">
        <v>0</v>
      </c>
      <c r="D42" s="7">
        <v>0</v>
      </c>
      <c r="E42" s="7">
        <v>0</v>
      </c>
      <c r="F42" s="17">
        <f t="shared" si="1"/>
        <v>883811.13611642644</v>
      </c>
      <c r="K42" s="10">
        <v>1000000</v>
      </c>
      <c r="L42" s="7">
        <v>0</v>
      </c>
      <c r="M42" s="7"/>
      <c r="N42" s="7">
        <v>0</v>
      </c>
      <c r="O42" s="7">
        <v>0</v>
      </c>
      <c r="P42" s="7"/>
      <c r="Q42" s="7">
        <v>0</v>
      </c>
      <c r="R42" s="7">
        <v>0</v>
      </c>
      <c r="S42" s="7"/>
      <c r="T42" s="7">
        <v>0</v>
      </c>
      <c r="U42" s="17">
        <v>0</v>
      </c>
    </row>
    <row r="43" spans="1:21">
      <c r="A43" t="s">
        <v>37</v>
      </c>
      <c r="B43" s="10">
        <v>577160.83379783342</v>
      </c>
      <c r="C43" s="7">
        <v>0</v>
      </c>
      <c r="D43" s="7">
        <v>0</v>
      </c>
      <c r="E43" s="7">
        <v>0</v>
      </c>
      <c r="F43" s="17">
        <f t="shared" si="1"/>
        <v>577160.83379783342</v>
      </c>
      <c r="K43" s="10">
        <v>508534</v>
      </c>
      <c r="L43" s="7">
        <v>0</v>
      </c>
      <c r="M43" s="7"/>
      <c r="N43" s="7">
        <v>0</v>
      </c>
      <c r="O43" s="7">
        <v>0</v>
      </c>
      <c r="P43" s="7"/>
      <c r="Q43" s="7">
        <v>0</v>
      </c>
      <c r="R43" s="7">
        <v>0</v>
      </c>
      <c r="S43" s="7"/>
      <c r="T43" s="7">
        <v>0</v>
      </c>
      <c r="U43" s="17">
        <v>0</v>
      </c>
    </row>
    <row r="44" spans="1:21">
      <c r="A44" t="s">
        <v>38</v>
      </c>
      <c r="B44" s="10">
        <v>4993509.5702646533</v>
      </c>
      <c r="C44" s="7">
        <v>0</v>
      </c>
      <c r="D44" s="7">
        <v>0</v>
      </c>
      <c r="E44" s="7">
        <v>0</v>
      </c>
      <c r="F44" s="17">
        <f t="shared" si="1"/>
        <v>4993509.5702646533</v>
      </c>
      <c r="K44" s="10">
        <v>5400000</v>
      </c>
      <c r="L44" s="7">
        <v>0</v>
      </c>
      <c r="M44" s="7"/>
      <c r="N44" s="7">
        <v>0</v>
      </c>
      <c r="O44" s="7">
        <v>0</v>
      </c>
      <c r="P44" s="7"/>
      <c r="Q44" s="7">
        <v>0</v>
      </c>
      <c r="R44" s="7">
        <v>0</v>
      </c>
      <c r="S44" s="7"/>
      <c r="T44" s="7">
        <v>0</v>
      </c>
      <c r="U44" s="17">
        <v>0</v>
      </c>
    </row>
    <row r="45" spans="1:21">
      <c r="A45" t="s">
        <v>39</v>
      </c>
      <c r="B45" s="10">
        <v>48675.424862561464</v>
      </c>
      <c r="C45" s="7">
        <v>0</v>
      </c>
      <c r="D45" s="7">
        <v>0</v>
      </c>
      <c r="E45" s="7">
        <v>0</v>
      </c>
      <c r="F45" s="17">
        <f t="shared" si="1"/>
        <v>48675.424862561464</v>
      </c>
      <c r="K45" s="10">
        <v>66443</v>
      </c>
      <c r="L45" s="7">
        <v>0</v>
      </c>
      <c r="M45" s="7"/>
      <c r="N45" s="7">
        <v>0</v>
      </c>
      <c r="O45" s="7">
        <v>0</v>
      </c>
      <c r="P45" s="7"/>
      <c r="Q45" s="7">
        <v>0</v>
      </c>
      <c r="R45" s="7">
        <v>0</v>
      </c>
      <c r="S45" s="7"/>
      <c r="T45" s="7">
        <v>0</v>
      </c>
      <c r="U45" s="17">
        <v>0</v>
      </c>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1119130.987416801</v>
      </c>
      <c r="C47" s="7">
        <v>0</v>
      </c>
      <c r="D47" s="7">
        <v>0</v>
      </c>
      <c r="E47" s="7">
        <v>0</v>
      </c>
      <c r="F47" s="17">
        <f t="shared" si="1"/>
        <v>1119130.987416801</v>
      </c>
      <c r="K47" s="10">
        <v>1168847</v>
      </c>
      <c r="L47" s="7">
        <v>0</v>
      </c>
      <c r="M47" s="7"/>
      <c r="N47" s="7">
        <v>0</v>
      </c>
      <c r="O47" s="7">
        <v>0</v>
      </c>
      <c r="P47" s="7"/>
      <c r="Q47" s="7">
        <v>0</v>
      </c>
      <c r="R47" s="7">
        <v>0</v>
      </c>
      <c r="S47" s="7"/>
      <c r="T47" s="7">
        <v>0</v>
      </c>
      <c r="U47" s="17">
        <v>0</v>
      </c>
    </row>
    <row r="48" spans="1:21">
      <c r="A48" t="s">
        <v>42</v>
      </c>
      <c r="B48" s="10">
        <v>376213.93721952836</v>
      </c>
      <c r="C48" s="7">
        <v>0</v>
      </c>
      <c r="D48" s="7">
        <v>0</v>
      </c>
      <c r="E48" s="7">
        <v>0</v>
      </c>
      <c r="F48" s="17">
        <f t="shared" si="1"/>
        <v>376213.93721952836</v>
      </c>
      <c r="K48" s="10">
        <v>458794</v>
      </c>
      <c r="L48" s="7">
        <v>0</v>
      </c>
      <c r="M48" s="7"/>
      <c r="N48" s="7">
        <v>0</v>
      </c>
      <c r="O48" s="7">
        <v>0</v>
      </c>
      <c r="P48" s="7"/>
      <c r="Q48" s="7">
        <v>0</v>
      </c>
      <c r="R48" s="7">
        <v>0</v>
      </c>
      <c r="S48" s="7"/>
      <c r="T48" s="7">
        <v>0</v>
      </c>
      <c r="U48" s="17">
        <v>0</v>
      </c>
    </row>
    <row r="49" spans="1:21">
      <c r="A49" t="s">
        <v>43</v>
      </c>
      <c r="B49" s="10">
        <v>1348060.7850820681</v>
      </c>
      <c r="C49" s="7">
        <v>0</v>
      </c>
      <c r="D49" s="7">
        <v>0</v>
      </c>
      <c r="E49" s="7">
        <v>0</v>
      </c>
      <c r="F49" s="17">
        <f t="shared" si="1"/>
        <v>1348060.7850820681</v>
      </c>
      <c r="K49" s="10">
        <v>1500000</v>
      </c>
      <c r="L49" s="7">
        <v>0</v>
      </c>
      <c r="M49" s="7"/>
      <c r="N49" s="7">
        <v>0</v>
      </c>
      <c r="O49" s="7">
        <v>0</v>
      </c>
      <c r="P49" s="7"/>
      <c r="Q49" s="7">
        <v>0</v>
      </c>
      <c r="R49" s="7">
        <v>0</v>
      </c>
      <c r="S49" s="7"/>
      <c r="T49" s="7">
        <v>0</v>
      </c>
      <c r="U49" s="17">
        <v>0</v>
      </c>
    </row>
    <row r="50" spans="1:21">
      <c r="A50" t="s">
        <v>44</v>
      </c>
      <c r="B50" s="10">
        <v>1684489.9122573887</v>
      </c>
      <c r="C50" s="7">
        <v>0</v>
      </c>
      <c r="D50" s="7">
        <v>0</v>
      </c>
      <c r="E50" s="7">
        <v>0</v>
      </c>
      <c r="F50" s="17">
        <f t="shared" si="1"/>
        <v>1684489.9122573887</v>
      </c>
      <c r="K50" s="10">
        <v>1814462</v>
      </c>
      <c r="L50" s="7">
        <v>113806.23419999999</v>
      </c>
      <c r="M50" s="7"/>
      <c r="N50" s="7">
        <v>0</v>
      </c>
      <c r="O50" s="7">
        <v>0</v>
      </c>
      <c r="P50" s="7"/>
      <c r="Q50" s="7">
        <v>449</v>
      </c>
      <c r="R50" s="7">
        <v>22.765800000006497</v>
      </c>
      <c r="S50" s="7"/>
      <c r="T50" s="7">
        <v>0</v>
      </c>
      <c r="U50" s="17">
        <v>0</v>
      </c>
    </row>
    <row r="51" spans="1:21">
      <c r="A51" t="s">
        <v>45</v>
      </c>
      <c r="B51" s="10">
        <v>317986.78084831923</v>
      </c>
      <c r="C51" s="7">
        <v>0</v>
      </c>
      <c r="D51" s="7">
        <v>0</v>
      </c>
      <c r="E51" s="7">
        <v>0</v>
      </c>
      <c r="F51" s="17">
        <f t="shared" si="1"/>
        <v>317986.78084831923</v>
      </c>
      <c r="K51" s="10">
        <v>430000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v>230000</v>
      </c>
      <c r="L52" s="7">
        <v>0</v>
      </c>
      <c r="M52" s="7"/>
      <c r="N52" s="7">
        <v>0</v>
      </c>
      <c r="O52" s="7">
        <v>0</v>
      </c>
      <c r="P52" s="7"/>
      <c r="Q52" s="7">
        <v>0</v>
      </c>
      <c r="R52" s="7">
        <v>0</v>
      </c>
      <c r="S52" s="7"/>
      <c r="T52" s="7">
        <v>0</v>
      </c>
      <c r="U52" s="17">
        <v>0</v>
      </c>
    </row>
    <row r="53" spans="1:21">
      <c r="A53" t="s">
        <v>47</v>
      </c>
      <c r="B53" s="10">
        <v>1309810.4862044111</v>
      </c>
      <c r="C53" s="7">
        <v>0</v>
      </c>
      <c r="D53" s="7">
        <v>0</v>
      </c>
      <c r="E53" s="7">
        <v>0</v>
      </c>
      <c r="F53" s="17">
        <f t="shared" si="1"/>
        <v>1309810.4862044111</v>
      </c>
      <c r="K53" s="10">
        <v>1407146</v>
      </c>
      <c r="L53" s="7">
        <v>0</v>
      </c>
      <c r="M53" s="7"/>
      <c r="N53" s="7">
        <v>20683</v>
      </c>
      <c r="O53" s="7">
        <v>26777</v>
      </c>
      <c r="P53" s="7"/>
      <c r="Q53" s="7">
        <v>0</v>
      </c>
      <c r="R53" s="7">
        <v>0</v>
      </c>
      <c r="S53" s="7"/>
      <c r="T53" s="7">
        <v>0</v>
      </c>
      <c r="U53" s="17">
        <v>0</v>
      </c>
    </row>
    <row r="54" spans="1:21">
      <c r="A54" t="s">
        <v>48</v>
      </c>
      <c r="B54" s="10">
        <v>1645571.2790334839</v>
      </c>
      <c r="C54" s="7">
        <v>0</v>
      </c>
      <c r="D54" s="7">
        <v>0</v>
      </c>
      <c r="E54" s="7">
        <v>0</v>
      </c>
      <c r="F54" s="17">
        <f t="shared" si="1"/>
        <v>1645571.2790334839</v>
      </c>
      <c r="K54" s="10">
        <v>1750000</v>
      </c>
      <c r="L54" s="7">
        <v>133907</v>
      </c>
      <c r="M54" s="7"/>
      <c r="N54" s="7">
        <v>0</v>
      </c>
      <c r="O54" s="7">
        <v>0</v>
      </c>
      <c r="P54" s="7"/>
      <c r="Q54" s="7">
        <v>0</v>
      </c>
      <c r="R54" s="7">
        <v>0</v>
      </c>
      <c r="S54" s="7"/>
      <c r="T54" s="7">
        <v>0</v>
      </c>
      <c r="U54" s="17">
        <v>0</v>
      </c>
    </row>
    <row r="55" spans="1:21">
      <c r="A55" t="s">
        <v>49</v>
      </c>
      <c r="B55" s="10">
        <v>258383.65519402962</v>
      </c>
      <c r="C55" s="7">
        <v>0</v>
      </c>
      <c r="D55" s="7">
        <v>0</v>
      </c>
      <c r="E55" s="7">
        <v>0</v>
      </c>
      <c r="F55" s="17">
        <f t="shared" si="1"/>
        <v>258383.65519402962</v>
      </c>
      <c r="K55" s="10">
        <v>350000</v>
      </c>
      <c r="L55" s="7">
        <v>99335</v>
      </c>
      <c r="M55" s="7"/>
      <c r="N55" s="7">
        <v>0</v>
      </c>
      <c r="O55" s="7">
        <v>0</v>
      </c>
      <c r="P55" s="7"/>
      <c r="Q55" s="7">
        <v>0</v>
      </c>
      <c r="R55" s="7">
        <v>0</v>
      </c>
      <c r="S55" s="7"/>
      <c r="T55" s="7">
        <v>0</v>
      </c>
      <c r="U55" s="17">
        <v>0</v>
      </c>
    </row>
    <row r="56" spans="1:21">
      <c r="A56" t="s">
        <v>50</v>
      </c>
      <c r="B56" s="10">
        <v>12256204.248937365</v>
      </c>
      <c r="C56" s="7">
        <v>0</v>
      </c>
      <c r="D56" s="7">
        <v>0</v>
      </c>
      <c r="E56" s="7">
        <v>0</v>
      </c>
      <c r="F56" s="17">
        <f t="shared" si="1"/>
        <v>12256204.248937365</v>
      </c>
      <c r="K56" s="10">
        <v>14500000</v>
      </c>
      <c r="L56" s="7">
        <v>0</v>
      </c>
      <c r="M56" s="7"/>
      <c r="N56" s="7">
        <v>0</v>
      </c>
      <c r="O56" s="7">
        <v>0</v>
      </c>
      <c r="P56" s="7"/>
      <c r="Q56" s="7">
        <v>0</v>
      </c>
      <c r="R56" s="7">
        <v>0</v>
      </c>
      <c r="S56" s="7"/>
      <c r="T56" s="7">
        <v>0</v>
      </c>
      <c r="U56" s="17">
        <v>0</v>
      </c>
    </row>
    <row r="57" spans="1:21">
      <c r="A57" t="s">
        <v>51</v>
      </c>
      <c r="B57" s="10">
        <v>252935.96123103442</v>
      </c>
      <c r="C57" s="7">
        <v>0</v>
      </c>
      <c r="D57" s="7">
        <v>0</v>
      </c>
      <c r="E57" s="7">
        <v>0</v>
      </c>
      <c r="F57" s="17">
        <f t="shared" si="1"/>
        <v>252935.96123103442</v>
      </c>
      <c r="K57" s="10">
        <v>235000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81850530.519999996</v>
      </c>
      <c r="C60" s="7">
        <f>SUM(C6:C58)</f>
        <v>0</v>
      </c>
      <c r="D60" s="7">
        <f>SUM(D6:D58)</f>
        <v>0</v>
      </c>
      <c r="E60" s="7">
        <f>SUM(E6:E58)</f>
        <v>0</v>
      </c>
      <c r="F60" s="17">
        <f>SUM(F6:F58)</f>
        <v>81850530.519999996</v>
      </c>
      <c r="K60" s="10">
        <f>SUM(K6:K58)</f>
        <v>88482480</v>
      </c>
      <c r="L60" s="7">
        <f>SUM(L6:L58)</f>
        <v>2590816.2341999998</v>
      </c>
      <c r="M60" s="7"/>
      <c r="N60" s="7">
        <f>SUM(N6:N58)</f>
        <v>20683</v>
      </c>
      <c r="O60" s="7">
        <f>SUM(O6:O58)</f>
        <v>26777</v>
      </c>
      <c r="P60" s="7"/>
      <c r="Q60" s="7">
        <f>SUM(Q6:Q58)</f>
        <v>449</v>
      </c>
      <c r="R60" s="7">
        <f>SUM(R6:R58)</f>
        <v>22.765800000006497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Italic"New Jersey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1962.7184035896551</v>
      </c>
      <c r="C6" s="7">
        <v>49745.513213474827</v>
      </c>
      <c r="D6" s="7">
        <v>0</v>
      </c>
      <c r="E6" s="7">
        <v>0</v>
      </c>
      <c r="F6" s="17">
        <f t="shared" ref="F6:F37" si="0">SUM(B6:E6)</f>
        <v>51708.231617064484</v>
      </c>
      <c r="K6" s="10">
        <v>3000</v>
      </c>
      <c r="L6" s="7">
        <v>0</v>
      </c>
      <c r="M6" s="7"/>
      <c r="N6" s="7">
        <v>13939</v>
      </c>
      <c r="O6" s="7">
        <v>0</v>
      </c>
      <c r="P6" s="7"/>
      <c r="Q6" s="7">
        <v>53000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10013.500179112094</v>
      </c>
      <c r="C8" s="7">
        <v>1063777.1623468073</v>
      </c>
      <c r="D8" s="7">
        <v>0</v>
      </c>
      <c r="E8" s="7">
        <v>0</v>
      </c>
      <c r="F8" s="17">
        <f t="shared" si="0"/>
        <v>1073790.6625259195</v>
      </c>
      <c r="H8" s="4" t="s">
        <v>64</v>
      </c>
      <c r="I8" s="13"/>
      <c r="K8" s="10">
        <v>3960</v>
      </c>
      <c r="L8" s="7">
        <v>0</v>
      </c>
      <c r="M8" s="7"/>
      <c r="N8" s="7">
        <v>656757</v>
      </c>
      <c r="O8" s="7">
        <v>0</v>
      </c>
      <c r="P8" s="7"/>
      <c r="Q8" s="7">
        <v>0</v>
      </c>
      <c r="R8" s="7">
        <v>0</v>
      </c>
      <c r="S8" s="7"/>
      <c r="T8" s="7">
        <v>0</v>
      </c>
      <c r="U8" s="17">
        <v>0</v>
      </c>
    </row>
    <row r="9" spans="1:21">
      <c r="A9" t="s">
        <v>3</v>
      </c>
      <c r="B9" s="10">
        <v>0</v>
      </c>
      <c r="C9" s="7">
        <v>31164.223665959529</v>
      </c>
      <c r="D9" s="7">
        <v>0</v>
      </c>
      <c r="E9" s="7">
        <v>0</v>
      </c>
      <c r="F9" s="17">
        <f t="shared" si="0"/>
        <v>31164.223665959529</v>
      </c>
      <c r="H9" s="4"/>
      <c r="I9" s="13"/>
      <c r="K9" s="10">
        <v>53995</v>
      </c>
      <c r="L9" s="7">
        <v>0</v>
      </c>
      <c r="M9" s="7"/>
      <c r="N9" s="7">
        <v>0</v>
      </c>
      <c r="O9" s="7">
        <v>0</v>
      </c>
      <c r="P9" s="7"/>
      <c r="Q9" s="7">
        <v>0</v>
      </c>
      <c r="R9" s="7">
        <v>0</v>
      </c>
      <c r="S9" s="7"/>
      <c r="T9" s="7">
        <v>0</v>
      </c>
      <c r="U9" s="17">
        <v>0</v>
      </c>
    </row>
    <row r="10" spans="1:21">
      <c r="A10" t="s">
        <v>4</v>
      </c>
      <c r="B10" s="10">
        <v>12932.987544821121</v>
      </c>
      <c r="C10" s="7">
        <v>173924.69734597078</v>
      </c>
      <c r="D10" s="7">
        <v>0</v>
      </c>
      <c r="E10" s="7">
        <v>0</v>
      </c>
      <c r="F10" s="17">
        <f t="shared" si="0"/>
        <v>186857.68489079189</v>
      </c>
      <c r="H10" s="4" t="s">
        <v>65</v>
      </c>
      <c r="I10" s="14">
        <v>190939550.94</v>
      </c>
      <c r="K10" s="10">
        <v>22902</v>
      </c>
      <c r="L10" s="7">
        <v>0</v>
      </c>
      <c r="M10" s="7"/>
      <c r="N10" s="7">
        <v>298758</v>
      </c>
      <c r="O10" s="7">
        <v>130000</v>
      </c>
      <c r="P10" s="7"/>
      <c r="Q10" s="7">
        <v>0</v>
      </c>
      <c r="R10" s="7">
        <v>0</v>
      </c>
      <c r="S10" s="7"/>
      <c r="T10" s="7">
        <v>0</v>
      </c>
      <c r="U10" s="17">
        <v>0</v>
      </c>
    </row>
    <row r="11" spans="1:21">
      <c r="A11" t="s">
        <v>5</v>
      </c>
      <c r="B11" s="10">
        <v>56312.144604346846</v>
      </c>
      <c r="C11" s="7">
        <v>570617.97214535694</v>
      </c>
      <c r="D11" s="7">
        <v>0</v>
      </c>
      <c r="E11" s="7">
        <v>0</v>
      </c>
      <c r="F11" s="17">
        <f t="shared" si="0"/>
        <v>626930.11674970377</v>
      </c>
      <c r="H11" s="4"/>
      <c r="I11" s="14"/>
      <c r="K11" s="10">
        <v>0</v>
      </c>
      <c r="L11" s="7">
        <v>0</v>
      </c>
      <c r="M11" s="7"/>
      <c r="N11" s="7">
        <v>125000</v>
      </c>
      <c r="O11" s="7">
        <v>60000</v>
      </c>
      <c r="P11" s="7"/>
      <c r="Q11" s="7">
        <v>0</v>
      </c>
      <c r="R11" s="7">
        <v>0</v>
      </c>
      <c r="S11" s="7"/>
      <c r="T11" s="7">
        <v>0</v>
      </c>
      <c r="U11" s="17">
        <v>0</v>
      </c>
    </row>
    <row r="12" spans="1:21">
      <c r="A12" t="s">
        <v>6</v>
      </c>
      <c r="B12" s="10">
        <v>0</v>
      </c>
      <c r="C12" s="7">
        <v>11168.631980526705</v>
      </c>
      <c r="D12" s="7">
        <v>0</v>
      </c>
      <c r="E12" s="7">
        <v>0</v>
      </c>
      <c r="F12" s="17">
        <f t="shared" si="0"/>
        <v>11168.631980526705</v>
      </c>
      <c r="H12" s="4" t="s">
        <v>66</v>
      </c>
      <c r="I12" s="14"/>
      <c r="K12" s="10"/>
      <c r="L12" s="7"/>
      <c r="M12" s="7"/>
      <c r="N12" s="7"/>
      <c r="O12" s="7"/>
      <c r="P12" s="7"/>
      <c r="Q12" s="7"/>
      <c r="R12" s="7"/>
      <c r="S12" s="7"/>
      <c r="T12" s="7"/>
      <c r="U12" s="17"/>
    </row>
    <row r="13" spans="1:21">
      <c r="A13" t="s">
        <v>7</v>
      </c>
      <c r="B13" s="10">
        <v>0</v>
      </c>
      <c r="C13" s="7">
        <v>4561.0290150270203</v>
      </c>
      <c r="D13" s="7">
        <v>0</v>
      </c>
      <c r="E13" s="7">
        <v>0</v>
      </c>
      <c r="F13" s="17">
        <f t="shared" si="0"/>
        <v>4561.0290150270203</v>
      </c>
      <c r="H13" s="4" t="s">
        <v>67</v>
      </c>
      <c r="I13" s="14">
        <v>0</v>
      </c>
      <c r="K13" s="10">
        <v>0</v>
      </c>
      <c r="L13" s="7">
        <v>0</v>
      </c>
      <c r="M13" s="7"/>
      <c r="N13" s="7">
        <v>10500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37809.300447049231</v>
      </c>
      <c r="C15" s="7">
        <v>1232903.2953032572</v>
      </c>
      <c r="D15" s="7">
        <v>0</v>
      </c>
      <c r="E15" s="7">
        <v>0</v>
      </c>
      <c r="F15" s="17">
        <f t="shared" si="0"/>
        <v>1270712.5957503065</v>
      </c>
      <c r="H15" s="4" t="s">
        <v>69</v>
      </c>
      <c r="I15" s="14">
        <v>1711214.2200000002</v>
      </c>
      <c r="K15" s="10">
        <v>140100</v>
      </c>
      <c r="L15" s="7">
        <v>0</v>
      </c>
      <c r="M15" s="7"/>
      <c r="N15" s="7">
        <v>1600000</v>
      </c>
      <c r="O15" s="7">
        <v>0</v>
      </c>
      <c r="P15" s="7"/>
      <c r="Q15" s="7">
        <v>0</v>
      </c>
      <c r="R15" s="7">
        <v>0</v>
      </c>
      <c r="S15" s="7"/>
      <c r="T15" s="7">
        <v>0</v>
      </c>
      <c r="U15" s="17">
        <v>0</v>
      </c>
    </row>
    <row r="16" spans="1:21">
      <c r="A16" t="s">
        <v>10</v>
      </c>
      <c r="B16" s="10">
        <v>45447.342109512239</v>
      </c>
      <c r="C16" s="7">
        <v>589095.16296224156</v>
      </c>
      <c r="D16" s="7">
        <v>0</v>
      </c>
      <c r="E16" s="7">
        <v>0</v>
      </c>
      <c r="F16" s="17">
        <f t="shared" si="0"/>
        <v>634542.50507175375</v>
      </c>
      <c r="H16" s="4" t="s">
        <v>70</v>
      </c>
      <c r="I16" s="14">
        <v>0</v>
      </c>
      <c r="K16" s="10">
        <v>64460</v>
      </c>
      <c r="L16" s="7">
        <v>0</v>
      </c>
      <c r="M16" s="7"/>
      <c r="N16" s="7">
        <v>935540</v>
      </c>
      <c r="O16" s="7">
        <v>45913.35</v>
      </c>
      <c r="P16" s="7"/>
      <c r="Q16" s="7">
        <v>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12117.473164822881</v>
      </c>
      <c r="C18" s="7">
        <v>432997.16379532916</v>
      </c>
      <c r="D18" s="7">
        <v>0</v>
      </c>
      <c r="E18" s="7">
        <v>0</v>
      </c>
      <c r="F18" s="17">
        <f t="shared" si="0"/>
        <v>445114.63696015207</v>
      </c>
      <c r="H18" s="4" t="s">
        <v>71</v>
      </c>
      <c r="I18" s="14"/>
      <c r="K18" s="10">
        <v>22330</v>
      </c>
      <c r="L18" s="7">
        <v>0</v>
      </c>
      <c r="M18" s="7"/>
      <c r="N18" s="7">
        <v>677670</v>
      </c>
      <c r="O18" s="7">
        <v>0</v>
      </c>
      <c r="P18" s="7"/>
      <c r="Q18" s="7">
        <v>0</v>
      </c>
      <c r="R18" s="7">
        <v>0</v>
      </c>
      <c r="S18" s="7"/>
      <c r="T18" s="7">
        <v>0</v>
      </c>
      <c r="U18" s="17">
        <v>0</v>
      </c>
    </row>
    <row r="19" spans="1:21">
      <c r="A19" t="s">
        <v>13</v>
      </c>
      <c r="B19" s="10">
        <v>30262.411083984436</v>
      </c>
      <c r="C19" s="7">
        <v>433136.78663879284</v>
      </c>
      <c r="D19" s="7">
        <v>0</v>
      </c>
      <c r="E19" s="7">
        <v>0</v>
      </c>
      <c r="F19" s="17">
        <f t="shared" si="0"/>
        <v>463399.19772277726</v>
      </c>
      <c r="H19" s="4" t="s">
        <v>72</v>
      </c>
      <c r="I19" s="14">
        <v>176081408.505</v>
      </c>
      <c r="K19" s="10">
        <v>75000</v>
      </c>
      <c r="L19" s="7">
        <v>0</v>
      </c>
      <c r="M19" s="7"/>
      <c r="N19" s="7">
        <v>750000</v>
      </c>
      <c r="O19" s="7">
        <v>200000</v>
      </c>
      <c r="P19" s="7"/>
      <c r="Q19" s="7">
        <v>0</v>
      </c>
      <c r="R19" s="7">
        <v>0</v>
      </c>
      <c r="S19" s="7"/>
      <c r="T19" s="7">
        <v>0</v>
      </c>
      <c r="U19" s="17">
        <v>0</v>
      </c>
    </row>
    <row r="20" spans="1:21">
      <c r="A20" t="s">
        <v>14</v>
      </c>
      <c r="B20" s="10">
        <v>51639.871070008718</v>
      </c>
      <c r="C20" s="7">
        <v>582491.91794538405</v>
      </c>
      <c r="D20" s="7">
        <v>0</v>
      </c>
      <c r="E20" s="7">
        <v>0</v>
      </c>
      <c r="F20" s="17">
        <f t="shared" si="0"/>
        <v>634131.78901539277</v>
      </c>
      <c r="H20" s="4" t="s">
        <v>73</v>
      </c>
      <c r="I20" s="14">
        <v>250452.43500007124</v>
      </c>
      <c r="K20" s="10"/>
      <c r="L20" s="7"/>
      <c r="M20" s="7"/>
      <c r="N20" s="7"/>
      <c r="O20" s="7"/>
      <c r="P20" s="7"/>
      <c r="Q20" s="7"/>
      <c r="R20" s="7"/>
      <c r="S20" s="7"/>
      <c r="T20" s="7"/>
      <c r="U20" s="17"/>
    </row>
    <row r="21" spans="1:21">
      <c r="A21" t="s">
        <v>15</v>
      </c>
      <c r="B21" s="10">
        <v>0</v>
      </c>
      <c r="C21" s="7">
        <v>-5.2021106325071948E-10</v>
      </c>
      <c r="D21" s="7">
        <v>0</v>
      </c>
      <c r="E21" s="7">
        <v>0</v>
      </c>
      <c r="F21" s="17">
        <f t="shared" si="0"/>
        <v>-5.2021106325071948E-10</v>
      </c>
      <c r="H21" s="4" t="s">
        <v>74</v>
      </c>
      <c r="I21" s="14"/>
      <c r="K21" s="10"/>
      <c r="L21" s="7"/>
      <c r="M21" s="7"/>
      <c r="N21" s="7"/>
      <c r="O21" s="7"/>
      <c r="P21" s="7"/>
      <c r="Q21" s="7"/>
      <c r="R21" s="7"/>
      <c r="S21" s="7"/>
      <c r="T21" s="7"/>
      <c r="U21" s="17"/>
    </row>
    <row r="22" spans="1:21">
      <c r="A22" t="s">
        <v>16</v>
      </c>
      <c r="B22" s="10">
        <v>10965.787087770592</v>
      </c>
      <c r="C22" s="7">
        <v>216963.02049125847</v>
      </c>
      <c r="D22" s="7">
        <v>0</v>
      </c>
      <c r="E22" s="7">
        <v>0</v>
      </c>
      <c r="F22" s="17">
        <f t="shared" si="0"/>
        <v>227928.80757902906</v>
      </c>
      <c r="H22" s="4" t="s">
        <v>75</v>
      </c>
      <c r="I22" s="14">
        <v>0</v>
      </c>
      <c r="K22" s="10">
        <v>0</v>
      </c>
      <c r="L22" s="7">
        <v>0</v>
      </c>
      <c r="M22" s="7"/>
      <c r="N22" s="7">
        <v>250000</v>
      </c>
      <c r="O22" s="7">
        <v>0</v>
      </c>
      <c r="P22" s="7"/>
      <c r="Q22" s="7">
        <v>0</v>
      </c>
      <c r="R22" s="7">
        <v>0</v>
      </c>
      <c r="S22" s="7"/>
      <c r="T22" s="7">
        <v>0</v>
      </c>
      <c r="U22" s="17">
        <v>0</v>
      </c>
    </row>
    <row r="23" spans="1:21">
      <c r="A23" t="s">
        <v>17</v>
      </c>
      <c r="B23" s="10">
        <v>1264.5588476633397</v>
      </c>
      <c r="C23" s="7">
        <v>55004.177328101134</v>
      </c>
      <c r="D23" s="7">
        <v>0</v>
      </c>
      <c r="E23" s="7">
        <v>0</v>
      </c>
      <c r="F23" s="17">
        <f t="shared" si="0"/>
        <v>56268.736175764476</v>
      </c>
      <c r="H23" s="4" t="s">
        <v>76</v>
      </c>
      <c r="I23" s="14"/>
      <c r="K23" s="10">
        <v>0</v>
      </c>
      <c r="L23" s="7">
        <v>0</v>
      </c>
      <c r="M23" s="7"/>
      <c r="N23" s="7">
        <v>125172</v>
      </c>
      <c r="O23" s="7">
        <v>60390</v>
      </c>
      <c r="P23" s="7"/>
      <c r="Q23" s="7">
        <v>0</v>
      </c>
      <c r="R23" s="7">
        <v>0</v>
      </c>
      <c r="S23" s="7"/>
      <c r="T23" s="7">
        <v>0</v>
      </c>
      <c r="U23" s="17">
        <v>0</v>
      </c>
    </row>
    <row r="24" spans="1:21">
      <c r="A24" t="s">
        <v>18</v>
      </c>
      <c r="B24" s="10">
        <v>0</v>
      </c>
      <c r="C24" s="7">
        <v>77039.166445798968</v>
      </c>
      <c r="D24" s="7">
        <v>0</v>
      </c>
      <c r="E24" s="7">
        <v>0</v>
      </c>
      <c r="F24" s="17">
        <f t="shared" si="0"/>
        <v>77039.166445798968</v>
      </c>
      <c r="H24" s="4" t="s">
        <v>77</v>
      </c>
      <c r="I24" s="14">
        <v>5138282.9999999991</v>
      </c>
      <c r="K24" s="10">
        <v>5650</v>
      </c>
      <c r="L24" s="7">
        <v>0</v>
      </c>
      <c r="M24" s="7"/>
      <c r="N24" s="7">
        <v>107350</v>
      </c>
      <c r="O24" s="7">
        <v>0</v>
      </c>
      <c r="P24" s="7"/>
      <c r="Q24" s="7">
        <v>0</v>
      </c>
      <c r="R24" s="7">
        <v>0</v>
      </c>
      <c r="S24" s="7"/>
      <c r="T24" s="7">
        <v>0</v>
      </c>
      <c r="U24" s="17">
        <v>0</v>
      </c>
    </row>
    <row r="25" spans="1:21">
      <c r="A25" t="s">
        <v>19</v>
      </c>
      <c r="B25" s="10">
        <v>8814.7773664769793</v>
      </c>
      <c r="C25" s="7">
        <v>180877.13526403252</v>
      </c>
      <c r="D25" s="7">
        <v>0</v>
      </c>
      <c r="E25" s="7">
        <v>0</v>
      </c>
      <c r="F25" s="17">
        <f t="shared" si="0"/>
        <v>189691.9126305095</v>
      </c>
      <c r="H25" s="4"/>
      <c r="I25" s="14"/>
      <c r="K25" s="10">
        <v>12350</v>
      </c>
      <c r="L25" s="7">
        <v>0</v>
      </c>
      <c r="M25" s="7"/>
      <c r="N25" s="7">
        <v>292650</v>
      </c>
      <c r="O25" s="7">
        <v>0</v>
      </c>
      <c r="P25" s="7"/>
      <c r="Q25" s="7">
        <v>0</v>
      </c>
      <c r="R25" s="7">
        <v>0</v>
      </c>
      <c r="S25" s="7"/>
      <c r="T25" s="7">
        <v>0</v>
      </c>
      <c r="U25" s="17">
        <v>0</v>
      </c>
    </row>
    <row r="26" spans="1:21">
      <c r="A26" t="s">
        <v>20</v>
      </c>
      <c r="B26" s="10">
        <v>3361.0647554255884</v>
      </c>
      <c r="C26" s="7">
        <v>35754.862853757004</v>
      </c>
      <c r="D26" s="7">
        <v>0</v>
      </c>
      <c r="E26" s="7">
        <v>0</v>
      </c>
      <c r="F26" s="17">
        <f t="shared" si="0"/>
        <v>39115.927609182589</v>
      </c>
      <c r="H26" s="4" t="s">
        <v>78</v>
      </c>
      <c r="I26" s="14">
        <f>SUM(I10:I16)-SUM(I19:I24)</f>
        <v>11180621.219999939</v>
      </c>
      <c r="K26" s="10">
        <v>4000</v>
      </c>
      <c r="L26" s="7">
        <v>0</v>
      </c>
      <c r="M26" s="7"/>
      <c r="N26" s="7">
        <v>66000</v>
      </c>
      <c r="O26" s="7">
        <v>0</v>
      </c>
      <c r="P26" s="7"/>
      <c r="Q26" s="7">
        <v>0</v>
      </c>
      <c r="R26" s="7">
        <v>0</v>
      </c>
      <c r="S26" s="7"/>
      <c r="T26" s="7">
        <v>0</v>
      </c>
      <c r="U26" s="17">
        <v>0</v>
      </c>
    </row>
    <row r="27" spans="1:21">
      <c r="A27" t="s">
        <v>21</v>
      </c>
      <c r="B27" s="10">
        <v>0</v>
      </c>
      <c r="C27" s="7">
        <v>0</v>
      </c>
      <c r="D27" s="7">
        <v>0</v>
      </c>
      <c r="E27" s="7">
        <v>0</v>
      </c>
      <c r="F27" s="17">
        <f t="shared" si="0"/>
        <v>0</v>
      </c>
      <c r="H27" s="4" t="s">
        <v>79</v>
      </c>
      <c r="I27" s="14">
        <f>+F60</f>
        <v>11180621.219999932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56267.002632711723</v>
      </c>
      <c r="D30" s="7">
        <v>0</v>
      </c>
      <c r="E30" s="7">
        <v>0</v>
      </c>
      <c r="F30" s="17">
        <f t="shared" si="0"/>
        <v>56267.002632711723</v>
      </c>
      <c r="K30" s="10">
        <v>0</v>
      </c>
      <c r="L30" s="7">
        <v>0</v>
      </c>
      <c r="M30" s="7"/>
      <c r="N30" s="7">
        <v>54422</v>
      </c>
      <c r="O30" s="7">
        <v>0</v>
      </c>
      <c r="P30" s="7"/>
      <c r="Q30" s="7">
        <v>0</v>
      </c>
      <c r="R30" s="7">
        <v>0</v>
      </c>
      <c r="S30" s="7"/>
      <c r="T30" s="7">
        <v>0</v>
      </c>
      <c r="U30" s="17">
        <v>0</v>
      </c>
    </row>
    <row r="31" spans="1:21">
      <c r="A31" t="s">
        <v>25</v>
      </c>
      <c r="B31" s="10">
        <v>18305.099076155937</v>
      </c>
      <c r="C31" s="7">
        <v>774343.31929917692</v>
      </c>
      <c r="D31" s="7">
        <v>0</v>
      </c>
      <c r="E31" s="7">
        <v>0</v>
      </c>
      <c r="F31" s="17">
        <f t="shared" si="0"/>
        <v>792648.41837533284</v>
      </c>
      <c r="K31" s="10">
        <v>0</v>
      </c>
      <c r="L31" s="7">
        <v>0</v>
      </c>
      <c r="M31" s="7"/>
      <c r="N31" s="7">
        <v>1852021</v>
      </c>
      <c r="O31" s="7">
        <v>0</v>
      </c>
      <c r="P31" s="7"/>
      <c r="Q31" s="7">
        <v>0</v>
      </c>
      <c r="R31" s="7">
        <v>0</v>
      </c>
      <c r="S31" s="7"/>
      <c r="T31" s="7">
        <v>0</v>
      </c>
      <c r="U31" s="17">
        <v>0</v>
      </c>
    </row>
    <row r="32" spans="1:21">
      <c r="A32" t="s">
        <v>26</v>
      </c>
      <c r="B32" s="10">
        <v>286.52255255184764</v>
      </c>
      <c r="C32" s="7">
        <v>107416.55094497041</v>
      </c>
      <c r="D32" s="7">
        <v>0</v>
      </c>
      <c r="E32" s="7">
        <v>0</v>
      </c>
      <c r="F32" s="17">
        <f t="shared" si="0"/>
        <v>107703.07349752226</v>
      </c>
      <c r="K32" s="10">
        <v>0</v>
      </c>
      <c r="L32" s="7">
        <v>0</v>
      </c>
      <c r="M32" s="7"/>
      <c r="N32" s="7">
        <v>160000</v>
      </c>
      <c r="O32" s="7">
        <v>0</v>
      </c>
      <c r="P32" s="7"/>
      <c r="Q32" s="7">
        <v>0</v>
      </c>
      <c r="R32" s="7">
        <v>0</v>
      </c>
      <c r="S32" s="7"/>
      <c r="T32" s="7">
        <v>0</v>
      </c>
      <c r="U32" s="17">
        <v>0</v>
      </c>
    </row>
    <row r="33" spans="1:21">
      <c r="A33" t="s">
        <v>27</v>
      </c>
      <c r="B33" s="10">
        <v>14959.973876024667</v>
      </c>
      <c r="C33" s="7">
        <v>455954.05065475765</v>
      </c>
      <c r="D33" s="7">
        <v>0</v>
      </c>
      <c r="E33" s="7">
        <v>0</v>
      </c>
      <c r="F33" s="17">
        <f t="shared" si="0"/>
        <v>470914.02453078231</v>
      </c>
      <c r="K33" s="10">
        <v>23000</v>
      </c>
      <c r="L33" s="7">
        <v>0</v>
      </c>
      <c r="M33" s="7"/>
      <c r="N33" s="7">
        <v>747728</v>
      </c>
      <c r="O33" s="7">
        <v>0</v>
      </c>
      <c r="P33" s="7"/>
      <c r="Q33" s="7">
        <v>0</v>
      </c>
      <c r="R33" s="7">
        <v>0</v>
      </c>
      <c r="S33" s="7"/>
      <c r="T33" s="7">
        <v>0</v>
      </c>
      <c r="U33" s="17">
        <v>0</v>
      </c>
    </row>
    <row r="34" spans="1:21">
      <c r="A34" t="s">
        <v>28</v>
      </c>
      <c r="B34" s="10">
        <v>6520.0102539052114</v>
      </c>
      <c r="C34" s="7">
        <v>79510.66108051117</v>
      </c>
      <c r="D34" s="7">
        <v>0</v>
      </c>
      <c r="E34" s="7">
        <v>0</v>
      </c>
      <c r="F34" s="17">
        <f t="shared" si="0"/>
        <v>86030.671334416387</v>
      </c>
      <c r="K34" s="10">
        <v>6900</v>
      </c>
      <c r="L34" s="7">
        <v>0</v>
      </c>
      <c r="M34" s="7"/>
      <c r="N34" s="7">
        <v>91000</v>
      </c>
      <c r="O34" s="7">
        <v>0</v>
      </c>
      <c r="P34" s="7"/>
      <c r="Q34" s="7">
        <v>0</v>
      </c>
      <c r="R34" s="7">
        <v>0</v>
      </c>
      <c r="S34" s="7"/>
      <c r="T34" s="7">
        <v>0</v>
      </c>
      <c r="U34" s="17">
        <v>0</v>
      </c>
    </row>
    <row r="35" spans="1:21">
      <c r="A35" t="s">
        <v>29</v>
      </c>
      <c r="B35" s="10">
        <v>0</v>
      </c>
      <c r="C35" s="7">
        <v>72491.673826998871</v>
      </c>
      <c r="D35" s="7">
        <v>0</v>
      </c>
      <c r="E35" s="7">
        <v>0</v>
      </c>
      <c r="F35" s="17">
        <f t="shared" si="0"/>
        <v>72491.673826998871</v>
      </c>
      <c r="K35" s="10">
        <v>0</v>
      </c>
      <c r="L35" s="7">
        <v>0</v>
      </c>
      <c r="M35" s="7"/>
      <c r="N35" s="7">
        <v>100000</v>
      </c>
      <c r="O35" s="7">
        <v>0</v>
      </c>
      <c r="P35" s="7"/>
      <c r="Q35" s="7">
        <v>0</v>
      </c>
      <c r="R35" s="7">
        <v>0</v>
      </c>
      <c r="S35" s="7"/>
      <c r="T35" s="7">
        <v>0</v>
      </c>
      <c r="U35" s="17">
        <v>0</v>
      </c>
    </row>
    <row r="36" spans="1:21">
      <c r="A36" t="s">
        <v>30</v>
      </c>
      <c r="B36" s="10">
        <v>0</v>
      </c>
      <c r="C36" s="7">
        <v>-1.040422126501439E-9</v>
      </c>
      <c r="D36" s="7">
        <v>0</v>
      </c>
      <c r="E36" s="7">
        <v>0</v>
      </c>
      <c r="F36" s="17">
        <f t="shared" si="0"/>
        <v>-1.040422126501439E-9</v>
      </c>
      <c r="K36" s="10"/>
      <c r="L36" s="7"/>
      <c r="M36" s="7"/>
      <c r="N36" s="7"/>
      <c r="O36" s="7"/>
      <c r="P36" s="7"/>
      <c r="Q36" s="7"/>
      <c r="R36" s="7"/>
      <c r="S36" s="7"/>
      <c r="T36" s="7"/>
      <c r="U36" s="17"/>
    </row>
    <row r="37" spans="1:21">
      <c r="A37" t="s">
        <v>31</v>
      </c>
      <c r="B37" s="10">
        <v>568.2804213304006</v>
      </c>
      <c r="C37" s="7">
        <v>194949.57833122299</v>
      </c>
      <c r="D37" s="7">
        <v>0</v>
      </c>
      <c r="E37" s="7">
        <v>0</v>
      </c>
      <c r="F37" s="17">
        <f t="shared" si="0"/>
        <v>195517.85875255338</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93804.07908677512</v>
      </c>
      <c r="C41" s="7">
        <v>789390.5927827491</v>
      </c>
      <c r="D41" s="7">
        <v>0</v>
      </c>
      <c r="E41" s="7">
        <v>0</v>
      </c>
      <c r="F41" s="17">
        <f t="shared" si="1"/>
        <v>883194.67186952417</v>
      </c>
      <c r="K41" s="10">
        <v>130000</v>
      </c>
      <c r="L41" s="7">
        <v>0</v>
      </c>
      <c r="M41" s="7"/>
      <c r="N41" s="7">
        <v>1070000</v>
      </c>
      <c r="O41" s="7">
        <v>0</v>
      </c>
      <c r="P41" s="7"/>
      <c r="Q41" s="7">
        <v>0</v>
      </c>
      <c r="R41" s="7">
        <v>0</v>
      </c>
      <c r="S41" s="7"/>
      <c r="T41" s="7">
        <v>0</v>
      </c>
      <c r="U41" s="17">
        <v>0</v>
      </c>
    </row>
    <row r="42" spans="1:21">
      <c r="A42" t="s">
        <v>36</v>
      </c>
      <c r="B42" s="10">
        <v>0</v>
      </c>
      <c r="C42" s="7">
        <v>284788.4265217685</v>
      </c>
      <c r="D42" s="7">
        <v>0</v>
      </c>
      <c r="E42" s="7">
        <v>0</v>
      </c>
      <c r="F42" s="17">
        <f t="shared" si="1"/>
        <v>284788.4265217685</v>
      </c>
      <c r="K42" s="10">
        <v>0</v>
      </c>
      <c r="L42" s="7">
        <v>0</v>
      </c>
      <c r="M42" s="7"/>
      <c r="N42" s="7">
        <v>600000</v>
      </c>
      <c r="O42" s="7">
        <v>200000</v>
      </c>
      <c r="P42" s="7"/>
      <c r="Q42" s="7">
        <v>0</v>
      </c>
      <c r="R42" s="7">
        <v>0</v>
      </c>
      <c r="S42" s="7"/>
      <c r="T42" s="7">
        <v>0</v>
      </c>
      <c r="U42" s="17">
        <v>0</v>
      </c>
    </row>
    <row r="43" spans="1:21">
      <c r="A43" t="s">
        <v>37</v>
      </c>
      <c r="B43" s="10">
        <v>0</v>
      </c>
      <c r="C43" s="7">
        <v>29387.201945515022</v>
      </c>
      <c r="D43" s="7">
        <v>0</v>
      </c>
      <c r="E43" s="7">
        <v>0</v>
      </c>
      <c r="F43" s="17">
        <f t="shared" si="1"/>
        <v>29387.201945515022</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2319.9407219991681</v>
      </c>
      <c r="D46" s="7">
        <v>0</v>
      </c>
      <c r="E46" s="7">
        <v>0</v>
      </c>
      <c r="F46" s="17">
        <f t="shared" si="1"/>
        <v>2319.9407219991681</v>
      </c>
      <c r="K46" s="10"/>
      <c r="L46" s="7"/>
      <c r="M46" s="7"/>
      <c r="N46" s="7"/>
      <c r="O46" s="7"/>
      <c r="P46" s="7"/>
      <c r="Q46" s="7"/>
      <c r="R46" s="7"/>
      <c r="S46" s="7"/>
      <c r="T46" s="7"/>
      <c r="U46" s="17"/>
    </row>
    <row r="47" spans="1:21">
      <c r="A47" t="s">
        <v>41</v>
      </c>
      <c r="B47" s="10">
        <v>0</v>
      </c>
      <c r="C47" s="7">
        <v>195713.61162167334</v>
      </c>
      <c r="D47" s="7">
        <v>0</v>
      </c>
      <c r="E47" s="7">
        <v>0</v>
      </c>
      <c r="F47" s="17">
        <f t="shared" si="1"/>
        <v>195713.61162167334</v>
      </c>
      <c r="K47" s="10">
        <v>0</v>
      </c>
      <c r="L47" s="7">
        <v>0</v>
      </c>
      <c r="M47" s="7"/>
      <c r="N47" s="7">
        <v>200000</v>
      </c>
      <c r="O47" s="7">
        <v>0</v>
      </c>
      <c r="P47" s="7"/>
      <c r="Q47" s="7">
        <v>0</v>
      </c>
      <c r="R47" s="7">
        <v>0</v>
      </c>
      <c r="S47" s="7"/>
      <c r="T47" s="7">
        <v>0</v>
      </c>
      <c r="U47" s="17">
        <v>0</v>
      </c>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1690.808881873437</v>
      </c>
      <c r="C49" s="7">
        <v>79459.43466184914</v>
      </c>
      <c r="D49" s="7">
        <v>0</v>
      </c>
      <c r="E49" s="7">
        <v>0</v>
      </c>
      <c r="F49" s="17">
        <f t="shared" si="1"/>
        <v>81150.243543722579</v>
      </c>
      <c r="K49" s="10">
        <v>10000</v>
      </c>
      <c r="L49" s="7">
        <v>0</v>
      </c>
      <c r="M49" s="7"/>
      <c r="N49" s="7">
        <v>115000</v>
      </c>
      <c r="O49" s="7">
        <v>0</v>
      </c>
      <c r="P49" s="7"/>
      <c r="Q49" s="7">
        <v>0</v>
      </c>
      <c r="R49" s="7">
        <v>0</v>
      </c>
      <c r="S49" s="7"/>
      <c r="T49" s="7">
        <v>0</v>
      </c>
      <c r="U49" s="17">
        <v>0</v>
      </c>
    </row>
    <row r="50" spans="1:21">
      <c r="A50" t="s">
        <v>44</v>
      </c>
      <c r="B50" s="10">
        <v>56478.471059366391</v>
      </c>
      <c r="C50" s="7">
        <v>1215164.012220188</v>
      </c>
      <c r="D50" s="7">
        <v>0</v>
      </c>
      <c r="E50" s="7">
        <v>0</v>
      </c>
      <c r="F50" s="17">
        <f t="shared" si="1"/>
        <v>1271642.4832795544</v>
      </c>
      <c r="K50" s="10">
        <v>185265</v>
      </c>
      <c r="L50" s="7">
        <v>42450.53</v>
      </c>
      <c r="M50" s="7"/>
      <c r="N50" s="7">
        <v>1924605</v>
      </c>
      <c r="O50" s="7">
        <v>441025.47000000003</v>
      </c>
      <c r="P50" s="7"/>
      <c r="Q50" s="7">
        <v>13</v>
      </c>
      <c r="R50" s="7">
        <v>1</v>
      </c>
      <c r="S50" s="7"/>
      <c r="T50" s="7">
        <v>0</v>
      </c>
      <c r="U50" s="17">
        <v>0</v>
      </c>
    </row>
    <row r="51" spans="1:21">
      <c r="A51" t="s">
        <v>45</v>
      </c>
      <c r="B51" s="10">
        <v>7942.2873054049433</v>
      </c>
      <c r="C51" s="7">
        <v>51971.620981022061</v>
      </c>
      <c r="D51" s="7">
        <v>0</v>
      </c>
      <c r="E51" s="7">
        <v>0</v>
      </c>
      <c r="F51" s="17">
        <f t="shared" si="1"/>
        <v>59913.908286427002</v>
      </c>
      <c r="K51" s="10">
        <v>29068</v>
      </c>
      <c r="L51" s="7">
        <v>0</v>
      </c>
      <c r="M51" s="7"/>
      <c r="N51" s="7">
        <v>50931</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42724.891502318438</v>
      </c>
      <c r="C53" s="7">
        <v>390690.31977133063</v>
      </c>
      <c r="D53" s="7">
        <v>0</v>
      </c>
      <c r="E53" s="7">
        <v>0</v>
      </c>
      <c r="F53" s="17">
        <f t="shared" si="1"/>
        <v>433415.21127364907</v>
      </c>
      <c r="K53" s="10">
        <v>67230</v>
      </c>
      <c r="L53" s="7">
        <v>0</v>
      </c>
      <c r="M53" s="7"/>
      <c r="N53" s="7">
        <v>465271</v>
      </c>
      <c r="O53" s="7">
        <v>172914</v>
      </c>
      <c r="P53" s="7"/>
      <c r="Q53" s="7">
        <v>0</v>
      </c>
      <c r="R53" s="7">
        <v>0</v>
      </c>
      <c r="S53" s="7"/>
      <c r="T53" s="7">
        <v>0</v>
      </c>
      <c r="U53" s="17">
        <v>0</v>
      </c>
    </row>
    <row r="54" spans="1:21">
      <c r="A54" t="s">
        <v>48</v>
      </c>
      <c r="B54" s="10">
        <v>0</v>
      </c>
      <c r="C54" s="7">
        <v>-5.2021106325071948E-10</v>
      </c>
      <c r="D54" s="7">
        <v>0</v>
      </c>
      <c r="E54" s="7">
        <v>0</v>
      </c>
      <c r="F54" s="17">
        <f t="shared" si="1"/>
        <v>-5.2021106325071948E-10</v>
      </c>
      <c r="K54" s="10"/>
      <c r="L54" s="7"/>
      <c r="M54" s="7"/>
      <c r="N54" s="7"/>
      <c r="O54" s="7"/>
      <c r="P54" s="7"/>
      <c r="Q54" s="7"/>
      <c r="R54" s="7"/>
      <c r="S54" s="7"/>
      <c r="T54" s="7"/>
      <c r="U54" s="17"/>
    </row>
    <row r="55" spans="1:21">
      <c r="A55" t="s">
        <v>49</v>
      </c>
      <c r="B55" s="10">
        <v>0</v>
      </c>
      <c r="C55" s="7">
        <v>133396.94258011848</v>
      </c>
      <c r="D55" s="7">
        <v>0</v>
      </c>
      <c r="E55" s="7">
        <v>0</v>
      </c>
      <c r="F55" s="17">
        <f t="shared" si="1"/>
        <v>133396.94258011848</v>
      </c>
      <c r="K55" s="10">
        <v>0</v>
      </c>
      <c r="L55" s="7">
        <v>0</v>
      </c>
      <c r="M55" s="7"/>
      <c r="N55" s="7">
        <v>220000</v>
      </c>
      <c r="O55" s="7">
        <v>49006</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526184.36068029027</v>
      </c>
      <c r="C60" s="7">
        <f>SUM(C6:C58)</f>
        <v>10654436.859319638</v>
      </c>
      <c r="D60" s="7">
        <f>SUM(D6:D58)</f>
        <v>0</v>
      </c>
      <c r="E60" s="7">
        <f>SUM(E6:E58)</f>
        <v>0</v>
      </c>
      <c r="F60" s="17">
        <f>SUM(F6:F58)</f>
        <v>11180621.219999932</v>
      </c>
      <c r="K60" s="10">
        <f>SUM(K6:K58)</f>
        <v>859210</v>
      </c>
      <c r="L60" s="7">
        <f>SUM(L6:L58)</f>
        <v>42450.53</v>
      </c>
      <c r="M60" s="7"/>
      <c r="N60" s="7">
        <f>SUM(N6:N58)</f>
        <v>13560314</v>
      </c>
      <c r="O60" s="7">
        <f>SUM(O6:O58)</f>
        <v>1359248.82</v>
      </c>
      <c r="P60" s="7"/>
      <c r="Q60" s="7">
        <f>SUM(Q6:Q58)</f>
        <v>53013</v>
      </c>
      <c r="R60" s="7">
        <f>SUM(R6:R58)</f>
        <v>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Italic"Old Colony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21390848.639099997</v>
      </c>
      <c r="K10" s="10"/>
      <c r="L10" s="7"/>
      <c r="M10" s="7"/>
      <c r="N10" s="7"/>
      <c r="O10" s="7"/>
      <c r="P10" s="7"/>
      <c r="Q10" s="7"/>
      <c r="R10" s="7"/>
      <c r="S10" s="7"/>
      <c r="T10" s="7"/>
      <c r="U10" s="17"/>
    </row>
    <row r="11" spans="1:21">
      <c r="A11" t="s">
        <v>5</v>
      </c>
      <c r="B11" s="10">
        <v>105382.05975908111</v>
      </c>
      <c r="C11" s="7">
        <v>77717.783245111859</v>
      </c>
      <c r="D11" s="7">
        <v>4061.7866962155185</v>
      </c>
      <c r="E11" s="7">
        <v>0</v>
      </c>
      <c r="F11" s="17">
        <f t="shared" si="0"/>
        <v>187161.62970040849</v>
      </c>
      <c r="H11" s="4"/>
      <c r="I11" s="14"/>
      <c r="K11" s="10">
        <v>265000</v>
      </c>
      <c r="L11" s="7">
        <v>0</v>
      </c>
      <c r="M11" s="7"/>
      <c r="N11" s="7">
        <v>230000</v>
      </c>
      <c r="O11" s="7">
        <v>0</v>
      </c>
      <c r="P11" s="7"/>
      <c r="Q11" s="7">
        <v>5000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291211.0399999998</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6079.7611313714669</v>
      </c>
      <c r="C18" s="7">
        <v>15766.335306041681</v>
      </c>
      <c r="D18" s="7">
        <v>974.09398168541429</v>
      </c>
      <c r="E18" s="7">
        <v>0</v>
      </c>
      <c r="F18" s="17">
        <f t="shared" si="0"/>
        <v>22820.190419098562</v>
      </c>
      <c r="H18" s="4" t="s">
        <v>71</v>
      </c>
      <c r="I18" s="14"/>
      <c r="K18" s="10">
        <v>18218</v>
      </c>
      <c r="L18" s="7">
        <v>0</v>
      </c>
      <c r="M18" s="7"/>
      <c r="N18" s="7">
        <v>36782</v>
      </c>
      <c r="O18" s="7">
        <v>0</v>
      </c>
      <c r="P18" s="7"/>
      <c r="Q18" s="7">
        <v>0</v>
      </c>
      <c r="R18" s="7">
        <v>0</v>
      </c>
      <c r="S18" s="7"/>
      <c r="T18" s="7">
        <v>0</v>
      </c>
      <c r="U18" s="17">
        <v>0</v>
      </c>
    </row>
    <row r="19" spans="1:21">
      <c r="A19" t="s">
        <v>13</v>
      </c>
      <c r="B19" s="10">
        <v>0</v>
      </c>
      <c r="C19" s="7">
        <v>0</v>
      </c>
      <c r="D19" s="7">
        <v>0</v>
      </c>
      <c r="E19" s="7">
        <v>0</v>
      </c>
      <c r="F19" s="17">
        <f t="shared" si="0"/>
        <v>0</v>
      </c>
      <c r="H19" s="4" t="s">
        <v>72</v>
      </c>
      <c r="I19" s="14">
        <v>14856392</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2754999</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2596550.9999999995</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1474117.6790999956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1474117.6790999998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12880.871567937942</v>
      </c>
      <c r="C32" s="7">
        <v>966.75398221969704</v>
      </c>
      <c r="D32" s="7">
        <v>465.84179869333968</v>
      </c>
      <c r="E32" s="7">
        <v>0</v>
      </c>
      <c r="F32" s="17">
        <f t="shared" si="0"/>
        <v>14313.46734885098</v>
      </c>
      <c r="K32" s="10">
        <v>30000</v>
      </c>
      <c r="L32" s="7">
        <v>0</v>
      </c>
      <c r="M32" s="7"/>
      <c r="N32" s="7">
        <v>0</v>
      </c>
      <c r="O32" s="7">
        <v>0</v>
      </c>
      <c r="P32" s="7"/>
      <c r="Q32" s="7">
        <v>0</v>
      </c>
      <c r="R32" s="7">
        <v>0</v>
      </c>
      <c r="S32" s="7"/>
      <c r="T32" s="7">
        <v>0</v>
      </c>
      <c r="U32" s="17">
        <v>0</v>
      </c>
    </row>
    <row r="33" spans="1:21">
      <c r="A33" t="s">
        <v>27</v>
      </c>
      <c r="B33" s="10">
        <v>689.15742885131476</v>
      </c>
      <c r="C33" s="7">
        <v>3267.7696173298464</v>
      </c>
      <c r="D33" s="7">
        <v>22.166480684582041</v>
      </c>
      <c r="E33" s="7">
        <v>0</v>
      </c>
      <c r="F33" s="17">
        <f t="shared" si="0"/>
        <v>3979.0935268657431</v>
      </c>
      <c r="K33" s="10">
        <v>28935</v>
      </c>
      <c r="L33" s="7">
        <v>0</v>
      </c>
      <c r="M33" s="7"/>
      <c r="N33" s="7">
        <v>77694</v>
      </c>
      <c r="O33" s="7">
        <v>0</v>
      </c>
      <c r="P33" s="7"/>
      <c r="Q33" s="7">
        <v>0</v>
      </c>
      <c r="R33" s="7">
        <v>0</v>
      </c>
      <c r="S33" s="7"/>
      <c r="T33" s="7">
        <v>0</v>
      </c>
      <c r="U33" s="17">
        <v>0</v>
      </c>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47930.296586630393</v>
      </c>
      <c r="C37" s="7">
        <v>24758.123170461939</v>
      </c>
      <c r="D37" s="7">
        <v>3292.1439609050371</v>
      </c>
      <c r="E37" s="7">
        <v>0</v>
      </c>
      <c r="F37" s="17">
        <f t="shared" si="0"/>
        <v>75980.563717997371</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295.452613630835</v>
      </c>
      <c r="C40" s="7">
        <v>574.20204154134001</v>
      </c>
      <c r="D40" s="7">
        <v>9.3903146846802272</v>
      </c>
      <c r="E40" s="7">
        <v>0</v>
      </c>
      <c r="F40" s="17">
        <f t="shared" si="1"/>
        <v>879.04496985685523</v>
      </c>
      <c r="K40" s="10">
        <v>1000</v>
      </c>
      <c r="L40" s="7">
        <v>0</v>
      </c>
      <c r="M40" s="7"/>
      <c r="N40" s="7">
        <v>1000</v>
      </c>
      <c r="O40" s="7">
        <v>0</v>
      </c>
      <c r="P40" s="7"/>
      <c r="Q40" s="7">
        <v>0</v>
      </c>
      <c r="R40" s="7">
        <v>0</v>
      </c>
      <c r="S40" s="7"/>
      <c r="T40" s="7">
        <v>0</v>
      </c>
      <c r="U40" s="17">
        <v>0</v>
      </c>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6460.550460333312</v>
      </c>
      <c r="C48" s="7">
        <v>5017.9297601642038</v>
      </c>
      <c r="D48" s="7">
        <v>1358.0167056319158</v>
      </c>
      <c r="E48" s="7">
        <v>0</v>
      </c>
      <c r="F48" s="17">
        <f t="shared" si="1"/>
        <v>12836.496926129432</v>
      </c>
      <c r="K48" s="10">
        <v>24000</v>
      </c>
      <c r="L48" s="7">
        <v>0</v>
      </c>
      <c r="M48" s="7"/>
      <c r="N48" s="7">
        <v>7228</v>
      </c>
      <c r="O48" s="7">
        <v>0</v>
      </c>
      <c r="P48" s="7"/>
      <c r="Q48" s="7">
        <v>0</v>
      </c>
      <c r="R48" s="7">
        <v>0</v>
      </c>
      <c r="S48" s="7"/>
      <c r="T48" s="7">
        <v>0</v>
      </c>
      <c r="U48" s="17">
        <v>0</v>
      </c>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5726.803613074394</v>
      </c>
      <c r="C51" s="7">
        <v>0</v>
      </c>
      <c r="D51" s="7">
        <v>239.04718324648783</v>
      </c>
      <c r="E51" s="7">
        <v>0</v>
      </c>
      <c r="F51" s="17">
        <f t="shared" si="1"/>
        <v>5965.8507963208822</v>
      </c>
      <c r="K51" s="10">
        <v>18000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10115.171107122907</v>
      </c>
      <c r="C54" s="7">
        <v>0</v>
      </c>
      <c r="D54" s="7">
        <v>1224.8334470370564</v>
      </c>
      <c r="E54" s="7">
        <v>0</v>
      </c>
      <c r="F54" s="17">
        <f t="shared" si="1"/>
        <v>11340.004554159965</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454054.02479665715</v>
      </c>
      <c r="C57" s="7">
        <v>632276.13893172424</v>
      </c>
      <c r="D57" s="7">
        <v>52511.173411930038</v>
      </c>
      <c r="E57" s="7">
        <v>0</v>
      </c>
      <c r="F57" s="17">
        <f t="shared" si="1"/>
        <v>1138841.3371403115</v>
      </c>
      <c r="K57" s="10">
        <v>1600148</v>
      </c>
      <c r="L57" s="7">
        <v>0</v>
      </c>
      <c r="M57" s="7"/>
      <c r="N57" s="7">
        <v>2718848</v>
      </c>
      <c r="O57" s="7">
        <v>0</v>
      </c>
      <c r="P57" s="7"/>
      <c r="Q57" s="7">
        <v>30000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649614.14906469081</v>
      </c>
      <c r="C60" s="7">
        <f>SUM(C6:C58)</f>
        <v>760345.03605459479</v>
      </c>
      <c r="D60" s="7">
        <f>SUM(D6:D58)</f>
        <v>64158.493980714069</v>
      </c>
      <c r="E60" s="7">
        <f>SUM(E6:E58)</f>
        <v>0</v>
      </c>
      <c r="F60" s="17">
        <f>SUM(F6:F58)</f>
        <v>1474117.6790999998</v>
      </c>
      <c r="K60" s="10">
        <f>SUM(K6:K58)</f>
        <v>1985301</v>
      </c>
      <c r="L60" s="7">
        <f>SUM(L6:L58)</f>
        <v>0</v>
      </c>
      <c r="M60" s="7"/>
      <c r="N60" s="7">
        <f>SUM(N6:N58)</f>
        <v>3071552</v>
      </c>
      <c r="O60" s="7">
        <f>SUM(O6:O58)</f>
        <v>0</v>
      </c>
      <c r="P60" s="7"/>
      <c r="Q60" s="7">
        <f>SUM(Q6:Q58)</f>
        <v>35000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Italic"Old Faithful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40866.938168665685</v>
      </c>
      <c r="C6" s="7">
        <v>18150.215517877081</v>
      </c>
      <c r="D6" s="7">
        <v>0</v>
      </c>
      <c r="E6" s="7">
        <v>0</v>
      </c>
      <c r="F6" s="17">
        <f t="shared" ref="F6:F37" si="0">SUM(B6:E6)</f>
        <v>59017.153686542762</v>
      </c>
      <c r="K6" s="10">
        <v>52000</v>
      </c>
      <c r="L6" s="7">
        <v>0</v>
      </c>
      <c r="M6" s="7"/>
      <c r="N6" s="7">
        <v>6439</v>
      </c>
      <c r="O6" s="7">
        <v>0</v>
      </c>
      <c r="P6" s="7"/>
      <c r="Q6" s="7">
        <v>0</v>
      </c>
      <c r="R6" s="7">
        <v>0</v>
      </c>
      <c r="S6" s="7"/>
      <c r="T6" s="7">
        <v>0</v>
      </c>
      <c r="U6" s="17">
        <v>0</v>
      </c>
    </row>
    <row r="7" spans="1:21">
      <c r="A7" t="s">
        <v>1</v>
      </c>
      <c r="B7" s="10">
        <v>0</v>
      </c>
      <c r="C7" s="7">
        <v>0</v>
      </c>
      <c r="D7" s="7">
        <v>0</v>
      </c>
      <c r="E7" s="7">
        <v>0</v>
      </c>
      <c r="F7" s="17">
        <f t="shared" si="0"/>
        <v>0</v>
      </c>
      <c r="H7" s="22"/>
      <c r="I7" s="24"/>
      <c r="K7" s="10">
        <v>110</v>
      </c>
      <c r="L7" s="7">
        <v>0</v>
      </c>
      <c r="M7" s="7"/>
      <c r="N7" s="7">
        <v>0</v>
      </c>
      <c r="O7" s="7">
        <v>0</v>
      </c>
      <c r="P7" s="7"/>
      <c r="Q7" s="7">
        <v>0</v>
      </c>
      <c r="R7" s="7">
        <v>0</v>
      </c>
      <c r="S7" s="7"/>
      <c r="T7" s="7">
        <v>0</v>
      </c>
      <c r="U7" s="17">
        <v>0</v>
      </c>
    </row>
    <row r="8" spans="1:21">
      <c r="A8" t="s">
        <v>2</v>
      </c>
      <c r="B8" s="10">
        <v>554108.82264510018</v>
      </c>
      <c r="C8" s="7">
        <v>939106.31577981799</v>
      </c>
      <c r="D8" s="7">
        <v>0</v>
      </c>
      <c r="E8" s="7">
        <v>0</v>
      </c>
      <c r="F8" s="17">
        <f t="shared" si="0"/>
        <v>1493215.1384249181</v>
      </c>
      <c r="H8" s="4" t="s">
        <v>64</v>
      </c>
      <c r="I8" s="13"/>
      <c r="K8" s="10">
        <v>689003</v>
      </c>
      <c r="L8" s="7">
        <v>0</v>
      </c>
      <c r="M8" s="7"/>
      <c r="N8" s="7">
        <v>391573</v>
      </c>
      <c r="O8" s="7">
        <v>0</v>
      </c>
      <c r="P8" s="7"/>
      <c r="Q8" s="7">
        <v>0</v>
      </c>
      <c r="R8" s="7">
        <v>0</v>
      </c>
      <c r="S8" s="7"/>
      <c r="T8" s="7">
        <v>0</v>
      </c>
      <c r="U8" s="17">
        <v>0</v>
      </c>
    </row>
    <row r="9" spans="1:21">
      <c r="A9" t="s">
        <v>3</v>
      </c>
      <c r="B9" s="10">
        <v>54219.4516626392</v>
      </c>
      <c r="C9" s="7">
        <v>100610.59379772145</v>
      </c>
      <c r="D9" s="7">
        <v>0</v>
      </c>
      <c r="E9" s="7">
        <v>0</v>
      </c>
      <c r="F9" s="17">
        <f t="shared" si="0"/>
        <v>154830.04546036065</v>
      </c>
      <c r="H9" s="4"/>
      <c r="I9" s="13"/>
      <c r="K9" s="10">
        <v>190247</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286944298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13794.293555729657</v>
      </c>
      <c r="C13" s="7">
        <v>4844.4106691836141</v>
      </c>
      <c r="D13" s="7">
        <v>0</v>
      </c>
      <c r="E13" s="7">
        <v>0</v>
      </c>
      <c r="F13" s="17">
        <f t="shared" si="0"/>
        <v>18638.704224913272</v>
      </c>
      <c r="H13" s="4" t="s">
        <v>67</v>
      </c>
      <c r="I13" s="14">
        <v>37921.869999999995</v>
      </c>
      <c r="K13" s="10">
        <v>18000</v>
      </c>
      <c r="L13" s="7">
        <v>0</v>
      </c>
      <c r="M13" s="7"/>
      <c r="N13" s="7">
        <v>27000</v>
      </c>
      <c r="O13" s="7">
        <v>0</v>
      </c>
      <c r="P13" s="7"/>
      <c r="Q13" s="7">
        <v>0</v>
      </c>
      <c r="R13" s="7">
        <v>0</v>
      </c>
      <c r="S13" s="7"/>
      <c r="T13" s="7">
        <v>0</v>
      </c>
      <c r="U13" s="17">
        <v>0</v>
      </c>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837389.95320357091</v>
      </c>
      <c r="C15" s="7">
        <v>654044.85319834331</v>
      </c>
      <c r="D15" s="7">
        <v>0</v>
      </c>
      <c r="E15" s="7">
        <v>0</v>
      </c>
      <c r="F15" s="17">
        <f t="shared" si="0"/>
        <v>1491434.8064019142</v>
      </c>
      <c r="H15" s="4" t="s">
        <v>69</v>
      </c>
      <c r="I15" s="14">
        <v>4243777.6600000011</v>
      </c>
      <c r="K15" s="10">
        <v>1050000</v>
      </c>
      <c r="L15" s="7">
        <v>0</v>
      </c>
      <c r="M15" s="7"/>
      <c r="N15" s="7">
        <v>610000</v>
      </c>
      <c r="O15" s="7">
        <v>0</v>
      </c>
      <c r="P15" s="7"/>
      <c r="Q15" s="7">
        <v>0</v>
      </c>
      <c r="R15" s="7">
        <v>0</v>
      </c>
      <c r="S15" s="7"/>
      <c r="T15" s="7">
        <v>0</v>
      </c>
      <c r="U15" s="17">
        <v>0</v>
      </c>
    </row>
    <row r="16" spans="1:21">
      <c r="A16" t="s">
        <v>10</v>
      </c>
      <c r="B16" s="10">
        <v>89290.873892726275</v>
      </c>
      <c r="C16" s="7">
        <v>67536.974023961564</v>
      </c>
      <c r="D16" s="7">
        <v>0</v>
      </c>
      <c r="E16" s="7">
        <v>0</v>
      </c>
      <c r="F16" s="17">
        <f t="shared" si="0"/>
        <v>156827.84791668784</v>
      </c>
      <c r="H16" s="4" t="s">
        <v>70</v>
      </c>
      <c r="I16" s="14">
        <v>0</v>
      </c>
      <c r="K16" s="10">
        <v>700000</v>
      </c>
      <c r="L16" s="7">
        <v>0</v>
      </c>
      <c r="M16" s="7"/>
      <c r="N16" s="7">
        <v>300000</v>
      </c>
      <c r="O16" s="7">
        <v>7626.91</v>
      </c>
      <c r="P16" s="7"/>
      <c r="Q16" s="7">
        <v>0</v>
      </c>
      <c r="R16" s="7">
        <v>0</v>
      </c>
      <c r="S16" s="7"/>
      <c r="T16" s="7">
        <v>0</v>
      </c>
      <c r="U16" s="17">
        <v>0</v>
      </c>
    </row>
    <row r="17" spans="1:21">
      <c r="A17" t="s">
        <v>11</v>
      </c>
      <c r="B17" s="10">
        <v>1098052.3502412133</v>
      </c>
      <c r="C17" s="7">
        <v>266487.57343802531</v>
      </c>
      <c r="D17" s="7">
        <v>0</v>
      </c>
      <c r="E17" s="7">
        <v>0</v>
      </c>
      <c r="F17" s="17">
        <f t="shared" si="0"/>
        <v>1364539.9236792387</v>
      </c>
      <c r="H17" s="4"/>
      <c r="I17" s="14"/>
      <c r="K17" s="10">
        <v>1498749</v>
      </c>
      <c r="L17" s="7">
        <v>0</v>
      </c>
      <c r="M17" s="7"/>
      <c r="N17" s="7">
        <v>326850</v>
      </c>
      <c r="O17" s="7">
        <v>0</v>
      </c>
      <c r="P17" s="7"/>
      <c r="Q17" s="7">
        <v>1129</v>
      </c>
      <c r="R17" s="7">
        <v>0</v>
      </c>
      <c r="S17" s="7"/>
      <c r="T17" s="7">
        <v>0</v>
      </c>
      <c r="U17" s="17">
        <v>0</v>
      </c>
    </row>
    <row r="18" spans="1:21">
      <c r="A18" t="s">
        <v>12</v>
      </c>
      <c r="B18" s="10">
        <v>316323.80777864973</v>
      </c>
      <c r="C18" s="7">
        <v>616992.46927799529</v>
      </c>
      <c r="D18" s="7">
        <v>0</v>
      </c>
      <c r="E18" s="7">
        <v>0</v>
      </c>
      <c r="F18" s="17">
        <f t="shared" si="0"/>
        <v>933316.27705664502</v>
      </c>
      <c r="H18" s="4" t="s">
        <v>71</v>
      </c>
      <c r="I18" s="14"/>
      <c r="K18" s="10">
        <v>801000</v>
      </c>
      <c r="L18" s="7">
        <v>765495</v>
      </c>
      <c r="M18" s="7"/>
      <c r="N18" s="7">
        <v>987000</v>
      </c>
      <c r="O18" s="7">
        <v>0</v>
      </c>
      <c r="P18" s="7"/>
      <c r="Q18" s="7">
        <v>12000</v>
      </c>
      <c r="R18" s="7">
        <v>0</v>
      </c>
      <c r="S18" s="7"/>
      <c r="T18" s="7">
        <v>0</v>
      </c>
      <c r="U18" s="17">
        <v>0</v>
      </c>
    </row>
    <row r="19" spans="1:21">
      <c r="A19" t="s">
        <v>13</v>
      </c>
      <c r="B19" s="10">
        <v>583757.7823301201</v>
      </c>
      <c r="C19" s="7">
        <v>742959.66649131966</v>
      </c>
      <c r="D19" s="7">
        <v>0</v>
      </c>
      <c r="E19" s="7">
        <v>0</v>
      </c>
      <c r="F19" s="17">
        <f t="shared" si="0"/>
        <v>1326717.4488214399</v>
      </c>
      <c r="H19" s="4" t="s">
        <v>72</v>
      </c>
      <c r="I19" s="14">
        <v>202443924.18881601</v>
      </c>
      <c r="K19" s="10">
        <v>940000</v>
      </c>
      <c r="L19" s="7">
        <v>302000</v>
      </c>
      <c r="M19" s="7"/>
      <c r="N19" s="7">
        <v>810000</v>
      </c>
      <c r="O19" s="7">
        <v>194000</v>
      </c>
      <c r="P19" s="7"/>
      <c r="Q19" s="7">
        <v>0</v>
      </c>
      <c r="R19" s="7">
        <v>0</v>
      </c>
      <c r="S19" s="7"/>
      <c r="T19" s="7">
        <v>0</v>
      </c>
      <c r="U19" s="17">
        <v>0</v>
      </c>
    </row>
    <row r="20" spans="1:21">
      <c r="A20" t="s">
        <v>14</v>
      </c>
      <c r="B20" s="10">
        <v>121463.66034284794</v>
      </c>
      <c r="C20" s="7">
        <v>196535.75592565729</v>
      </c>
      <c r="D20" s="7">
        <v>0</v>
      </c>
      <c r="E20" s="7">
        <v>0</v>
      </c>
      <c r="F20" s="17">
        <f t="shared" si="0"/>
        <v>317999.41626850521</v>
      </c>
      <c r="H20" s="4" t="s">
        <v>73</v>
      </c>
      <c r="I20" s="14">
        <v>32137465.317571491</v>
      </c>
      <c r="K20" s="10"/>
      <c r="L20" s="7"/>
      <c r="M20" s="7"/>
      <c r="N20" s="7"/>
      <c r="O20" s="7"/>
      <c r="P20" s="7"/>
      <c r="Q20" s="7"/>
      <c r="R20" s="7"/>
      <c r="S20" s="7"/>
      <c r="T20" s="7"/>
      <c r="U20" s="17"/>
    </row>
    <row r="21" spans="1:21">
      <c r="A21" t="s">
        <v>15</v>
      </c>
      <c r="B21" s="10">
        <v>78009.442428599243</v>
      </c>
      <c r="C21" s="7">
        <v>160885.04558948919</v>
      </c>
      <c r="D21" s="7">
        <v>0</v>
      </c>
      <c r="E21" s="7">
        <v>0</v>
      </c>
      <c r="F21" s="17">
        <f t="shared" si="0"/>
        <v>238894.48801808845</v>
      </c>
      <c r="H21" s="4" t="s">
        <v>74</v>
      </c>
      <c r="I21" s="14"/>
      <c r="K21" s="10">
        <v>200000</v>
      </c>
      <c r="L21" s="7">
        <v>0</v>
      </c>
      <c r="M21" s="7"/>
      <c r="N21" s="7">
        <v>0</v>
      </c>
      <c r="O21" s="7">
        <v>0</v>
      </c>
      <c r="P21" s="7"/>
      <c r="Q21" s="7">
        <v>0</v>
      </c>
      <c r="R21" s="7">
        <v>0</v>
      </c>
      <c r="S21" s="7"/>
      <c r="T21" s="7">
        <v>0</v>
      </c>
      <c r="U21" s="17">
        <v>0</v>
      </c>
    </row>
    <row r="22" spans="1:21">
      <c r="A22" t="s">
        <v>16</v>
      </c>
      <c r="B22" s="10">
        <v>0</v>
      </c>
      <c r="C22" s="7">
        <v>0</v>
      </c>
      <c r="D22" s="7">
        <v>0</v>
      </c>
      <c r="E22" s="7">
        <v>0</v>
      </c>
      <c r="F22" s="17">
        <f t="shared" si="0"/>
        <v>0</v>
      </c>
      <c r="H22" s="4" t="s">
        <v>75</v>
      </c>
      <c r="I22" s="14">
        <v>27830305.493612494</v>
      </c>
      <c r="K22" s="10"/>
      <c r="L22" s="7"/>
      <c r="M22" s="7"/>
      <c r="N22" s="7"/>
      <c r="O22" s="7"/>
      <c r="P22" s="7"/>
      <c r="Q22" s="7"/>
      <c r="R22" s="7"/>
      <c r="S22" s="7"/>
      <c r="T22" s="7"/>
      <c r="U22" s="17"/>
    </row>
    <row r="23" spans="1:21">
      <c r="A23" t="s">
        <v>17</v>
      </c>
      <c r="B23" s="10">
        <v>112277.37156254865</v>
      </c>
      <c r="C23" s="7">
        <v>64110.099749428315</v>
      </c>
      <c r="D23" s="7">
        <v>0</v>
      </c>
      <c r="E23" s="7">
        <v>0</v>
      </c>
      <c r="F23" s="17">
        <f t="shared" si="0"/>
        <v>176387.47131197696</v>
      </c>
      <c r="H23" s="4" t="s">
        <v>76</v>
      </c>
      <c r="I23" s="14"/>
      <c r="K23" s="10">
        <v>119576</v>
      </c>
      <c r="L23" s="7">
        <v>0</v>
      </c>
      <c r="M23" s="7"/>
      <c r="N23" s="7">
        <v>56024</v>
      </c>
      <c r="O23" s="7">
        <v>0</v>
      </c>
      <c r="P23" s="7"/>
      <c r="Q23" s="7">
        <v>0</v>
      </c>
      <c r="R23" s="7">
        <v>0</v>
      </c>
      <c r="S23" s="7"/>
      <c r="T23" s="7">
        <v>0</v>
      </c>
      <c r="U23" s="17">
        <v>0</v>
      </c>
    </row>
    <row r="24" spans="1:21">
      <c r="A24" t="s">
        <v>18</v>
      </c>
      <c r="B24" s="10">
        <v>0</v>
      </c>
      <c r="C24" s="7">
        <v>0</v>
      </c>
      <c r="D24" s="7">
        <v>0</v>
      </c>
      <c r="E24" s="7">
        <v>0</v>
      </c>
      <c r="F24" s="17">
        <f t="shared" si="0"/>
        <v>0</v>
      </c>
      <c r="H24" s="4" t="s">
        <v>77</v>
      </c>
      <c r="I24" s="14">
        <v>381030.99999999994</v>
      </c>
      <c r="K24" s="10"/>
      <c r="L24" s="7"/>
      <c r="M24" s="7"/>
      <c r="N24" s="7"/>
      <c r="O24" s="7"/>
      <c r="P24" s="7"/>
      <c r="Q24" s="7"/>
      <c r="R24" s="7"/>
      <c r="S24" s="7"/>
      <c r="T24" s="7"/>
      <c r="U24" s="17"/>
    </row>
    <row r="25" spans="1:21">
      <c r="A25" t="s">
        <v>19</v>
      </c>
      <c r="B25" s="10">
        <v>143558.05698030189</v>
      </c>
      <c r="C25" s="7">
        <v>242242.01857995809</v>
      </c>
      <c r="D25" s="7">
        <v>0</v>
      </c>
      <c r="E25" s="7">
        <v>0</v>
      </c>
      <c r="F25" s="17">
        <f t="shared" si="0"/>
        <v>385800.07556025998</v>
      </c>
      <c r="H25" s="4"/>
      <c r="I25" s="14"/>
      <c r="K25" s="10">
        <v>134289</v>
      </c>
      <c r="L25" s="7">
        <v>0</v>
      </c>
      <c r="M25" s="7"/>
      <c r="N25" s="7">
        <v>290711</v>
      </c>
      <c r="O25" s="7">
        <v>0</v>
      </c>
      <c r="P25" s="7"/>
      <c r="Q25" s="7">
        <v>0</v>
      </c>
      <c r="R25" s="7">
        <v>0</v>
      </c>
      <c r="S25" s="7"/>
      <c r="T25" s="7">
        <v>0</v>
      </c>
      <c r="U25" s="17">
        <v>0</v>
      </c>
    </row>
    <row r="26" spans="1:21">
      <c r="A26" t="s">
        <v>20</v>
      </c>
      <c r="B26" s="10">
        <v>0</v>
      </c>
      <c r="C26" s="7">
        <v>0</v>
      </c>
      <c r="D26" s="7">
        <v>0</v>
      </c>
      <c r="E26" s="7">
        <v>0</v>
      </c>
      <c r="F26" s="17">
        <f t="shared" si="0"/>
        <v>0</v>
      </c>
      <c r="H26" s="4" t="s">
        <v>78</v>
      </c>
      <c r="I26" s="14">
        <f>SUM(I10:I16)-SUM(I19:I24)</f>
        <v>28433271.530000031</v>
      </c>
      <c r="K26" s="10"/>
      <c r="L26" s="7"/>
      <c r="M26" s="7"/>
      <c r="N26" s="7"/>
      <c r="O26" s="7"/>
      <c r="P26" s="7"/>
      <c r="Q26" s="7"/>
      <c r="R26" s="7"/>
      <c r="S26" s="7"/>
      <c r="T26" s="7"/>
      <c r="U26" s="17"/>
    </row>
    <row r="27" spans="1:21">
      <c r="A27" t="s">
        <v>21</v>
      </c>
      <c r="B27" s="10">
        <v>140906.10487789923</v>
      </c>
      <c r="C27" s="7">
        <v>149611.34524092672</v>
      </c>
      <c r="D27" s="7">
        <v>0</v>
      </c>
      <c r="E27" s="7">
        <v>0</v>
      </c>
      <c r="F27" s="17">
        <f t="shared" si="0"/>
        <v>290517.45011882595</v>
      </c>
      <c r="H27" s="4" t="s">
        <v>79</v>
      </c>
      <c r="I27" s="14">
        <f>+F60</f>
        <v>28433271.529999997</v>
      </c>
      <c r="K27" s="10">
        <v>104000</v>
      </c>
      <c r="L27" s="7">
        <v>0</v>
      </c>
      <c r="M27" s="7"/>
      <c r="N27" s="7">
        <v>121000</v>
      </c>
      <c r="O27" s="7">
        <v>0</v>
      </c>
      <c r="P27" s="7"/>
      <c r="Q27" s="7">
        <v>0</v>
      </c>
      <c r="R27" s="7">
        <v>0</v>
      </c>
      <c r="S27" s="7"/>
      <c r="T27" s="7">
        <v>0</v>
      </c>
      <c r="U27" s="17">
        <v>0</v>
      </c>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1169270.8764681937</v>
      </c>
      <c r="C29" s="7">
        <v>3217979.887492328</v>
      </c>
      <c r="D29" s="7">
        <v>0</v>
      </c>
      <c r="E29" s="7">
        <v>0</v>
      </c>
      <c r="F29" s="17">
        <f t="shared" si="0"/>
        <v>4387250.7639605217</v>
      </c>
      <c r="K29" s="10">
        <v>1650000</v>
      </c>
      <c r="L29" s="7">
        <v>0</v>
      </c>
      <c r="M29" s="7"/>
      <c r="N29" s="7">
        <v>2950000</v>
      </c>
      <c r="O29" s="7">
        <v>0</v>
      </c>
      <c r="P29" s="7"/>
      <c r="Q29" s="7">
        <v>0</v>
      </c>
      <c r="R29" s="7">
        <v>0</v>
      </c>
      <c r="S29" s="7"/>
      <c r="T29" s="7">
        <v>0</v>
      </c>
      <c r="U29" s="17">
        <v>0</v>
      </c>
    </row>
    <row r="30" spans="1:21">
      <c r="A30" t="s">
        <v>24</v>
      </c>
      <c r="B30" s="10">
        <v>9117.2222843556992</v>
      </c>
      <c r="C30" s="7">
        <v>9502.2283640308578</v>
      </c>
      <c r="D30" s="7">
        <v>0</v>
      </c>
      <c r="E30" s="7">
        <v>0</v>
      </c>
      <c r="F30" s="17">
        <f t="shared" si="0"/>
        <v>18619.450648386555</v>
      </c>
      <c r="K30" s="10"/>
      <c r="L30" s="7"/>
      <c r="M30" s="7"/>
      <c r="N30" s="7"/>
      <c r="O30" s="7"/>
      <c r="P30" s="7"/>
      <c r="Q30" s="7"/>
      <c r="R30" s="7"/>
      <c r="S30" s="7"/>
      <c r="T30" s="7"/>
      <c r="U30" s="17"/>
    </row>
    <row r="31" spans="1:21">
      <c r="A31" t="s">
        <v>25</v>
      </c>
      <c r="B31" s="10">
        <v>41049.17670298733</v>
      </c>
      <c r="C31" s="7">
        <v>44272.461730210322</v>
      </c>
      <c r="D31" s="7">
        <v>0</v>
      </c>
      <c r="E31" s="7">
        <v>0</v>
      </c>
      <c r="F31" s="17">
        <f t="shared" si="0"/>
        <v>85321.638433197659</v>
      </c>
      <c r="K31" s="10"/>
      <c r="L31" s="7"/>
      <c r="M31" s="7"/>
      <c r="N31" s="7"/>
      <c r="O31" s="7"/>
      <c r="P31" s="7"/>
      <c r="Q31" s="7"/>
      <c r="R31" s="7"/>
      <c r="S31" s="7"/>
      <c r="T31" s="7"/>
      <c r="U31" s="17"/>
    </row>
    <row r="32" spans="1:21">
      <c r="A32" t="s">
        <v>26</v>
      </c>
      <c r="B32" s="10">
        <v>128382.05222816375</v>
      </c>
      <c r="C32" s="7">
        <v>170613.86165117388</v>
      </c>
      <c r="D32" s="7">
        <v>0</v>
      </c>
      <c r="E32" s="7">
        <v>0</v>
      </c>
      <c r="F32" s="17">
        <f t="shared" si="0"/>
        <v>298995.9138793376</v>
      </c>
      <c r="K32" s="10">
        <v>181500</v>
      </c>
      <c r="L32" s="7">
        <v>0</v>
      </c>
      <c r="M32" s="7"/>
      <c r="N32" s="7">
        <v>223500</v>
      </c>
      <c r="O32" s="7">
        <v>0</v>
      </c>
      <c r="P32" s="7"/>
      <c r="Q32" s="7">
        <v>0</v>
      </c>
      <c r="R32" s="7">
        <v>0</v>
      </c>
      <c r="S32" s="7"/>
      <c r="T32" s="7">
        <v>0</v>
      </c>
      <c r="U32" s="17">
        <v>0</v>
      </c>
    </row>
    <row r="33" spans="1:21">
      <c r="A33" t="s">
        <v>27</v>
      </c>
      <c r="B33" s="10">
        <v>181233.91226245416</v>
      </c>
      <c r="C33" s="7">
        <v>290751.38346162572</v>
      </c>
      <c r="D33" s="7">
        <v>0</v>
      </c>
      <c r="E33" s="7">
        <v>0</v>
      </c>
      <c r="F33" s="17">
        <f t="shared" si="0"/>
        <v>471985.29572407989</v>
      </c>
      <c r="K33" s="10">
        <v>160000</v>
      </c>
      <c r="L33" s="7">
        <v>0</v>
      </c>
      <c r="M33" s="7"/>
      <c r="N33" s="7">
        <v>334162</v>
      </c>
      <c r="O33" s="7">
        <v>0</v>
      </c>
      <c r="P33" s="7"/>
      <c r="Q33" s="7">
        <v>0</v>
      </c>
      <c r="R33" s="7">
        <v>0</v>
      </c>
      <c r="S33" s="7"/>
      <c r="T33" s="7">
        <v>0</v>
      </c>
      <c r="U33" s="17">
        <v>0</v>
      </c>
    </row>
    <row r="34" spans="1:21">
      <c r="A34" t="s">
        <v>28</v>
      </c>
      <c r="B34" s="10">
        <v>159287.48215164975</v>
      </c>
      <c r="C34" s="7">
        <v>241455.82840381475</v>
      </c>
      <c r="D34" s="7">
        <v>0</v>
      </c>
      <c r="E34" s="7">
        <v>0</v>
      </c>
      <c r="F34" s="17">
        <f t="shared" si="0"/>
        <v>400743.31055546447</v>
      </c>
      <c r="K34" s="10">
        <v>544500</v>
      </c>
      <c r="L34" s="7">
        <v>0</v>
      </c>
      <c r="M34" s="7"/>
      <c r="N34" s="7">
        <v>242200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153031.24072734895</v>
      </c>
      <c r="C37" s="7">
        <v>230182.77283978128</v>
      </c>
      <c r="D37" s="7">
        <v>0</v>
      </c>
      <c r="E37" s="7">
        <v>0</v>
      </c>
      <c r="F37" s="17">
        <f t="shared" si="0"/>
        <v>383214.0135671302</v>
      </c>
      <c r="K37" s="10">
        <v>475000</v>
      </c>
      <c r="L37" s="7">
        <v>0</v>
      </c>
      <c r="M37" s="7"/>
      <c r="N37" s="7">
        <v>300000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355454.96441335935</v>
      </c>
      <c r="C39" s="7">
        <v>249085.06625468188</v>
      </c>
      <c r="D39" s="7">
        <v>0</v>
      </c>
      <c r="E39" s="7">
        <v>0</v>
      </c>
      <c r="F39" s="17">
        <f t="shared" si="1"/>
        <v>604540.0306680412</v>
      </c>
      <c r="K39" s="10">
        <v>360000</v>
      </c>
      <c r="L39" s="7">
        <v>0</v>
      </c>
      <c r="M39" s="7"/>
      <c r="N39" s="7">
        <v>240000</v>
      </c>
      <c r="O39" s="7">
        <v>0</v>
      </c>
      <c r="P39" s="7"/>
      <c r="Q39" s="7">
        <v>0</v>
      </c>
      <c r="R39" s="7">
        <v>0</v>
      </c>
      <c r="S39" s="7"/>
      <c r="T39" s="7">
        <v>0</v>
      </c>
      <c r="U39" s="17">
        <v>0</v>
      </c>
    </row>
    <row r="40" spans="1:21">
      <c r="A40" t="s">
        <v>34</v>
      </c>
      <c r="B40" s="10">
        <v>137229.37315835492</v>
      </c>
      <c r="C40" s="7">
        <v>86588.283430108175</v>
      </c>
      <c r="D40" s="7">
        <v>0</v>
      </c>
      <c r="E40" s="7">
        <v>0</v>
      </c>
      <c r="F40" s="17">
        <f t="shared" si="1"/>
        <v>223817.65658846311</v>
      </c>
      <c r="K40" s="10">
        <v>259900</v>
      </c>
      <c r="L40" s="7">
        <v>0</v>
      </c>
      <c r="M40" s="7"/>
      <c r="N40" s="7">
        <v>21700</v>
      </c>
      <c r="O40" s="7">
        <v>0</v>
      </c>
      <c r="P40" s="7"/>
      <c r="Q40" s="7">
        <v>0</v>
      </c>
      <c r="R40" s="7">
        <v>0</v>
      </c>
      <c r="S40" s="7"/>
      <c r="T40" s="7">
        <v>0</v>
      </c>
      <c r="U40" s="17">
        <v>0</v>
      </c>
    </row>
    <row r="41" spans="1:21">
      <c r="A41" t="s">
        <v>35</v>
      </c>
      <c r="B41" s="10">
        <v>1071821.3431315003</v>
      </c>
      <c r="C41" s="7">
        <v>568212.12091563956</v>
      </c>
      <c r="D41" s="7">
        <v>0</v>
      </c>
      <c r="E41" s="7">
        <v>0</v>
      </c>
      <c r="F41" s="17">
        <f t="shared" si="1"/>
        <v>1640033.46404714</v>
      </c>
      <c r="K41" s="10">
        <v>2600000</v>
      </c>
      <c r="L41" s="7">
        <v>0</v>
      </c>
      <c r="M41" s="7"/>
      <c r="N41" s="7">
        <v>600000</v>
      </c>
      <c r="O41" s="7">
        <v>0</v>
      </c>
      <c r="P41" s="7"/>
      <c r="Q41" s="7">
        <v>0</v>
      </c>
      <c r="R41" s="7">
        <v>0</v>
      </c>
      <c r="S41" s="7"/>
      <c r="T41" s="7">
        <v>0</v>
      </c>
      <c r="U41" s="17">
        <v>0</v>
      </c>
    </row>
    <row r="42" spans="1:21">
      <c r="A42" t="s">
        <v>36</v>
      </c>
      <c r="B42" s="10">
        <v>817747.44059795572</v>
      </c>
      <c r="C42" s="7">
        <v>830260.23398702906</v>
      </c>
      <c r="D42" s="7">
        <v>0</v>
      </c>
      <c r="E42" s="7">
        <v>0</v>
      </c>
      <c r="F42" s="17">
        <f t="shared" si="1"/>
        <v>1648007.6745849848</v>
      </c>
      <c r="K42" s="10">
        <v>959500</v>
      </c>
      <c r="L42" s="7">
        <v>35700</v>
      </c>
      <c r="M42" s="7"/>
      <c r="N42" s="7">
        <v>0</v>
      </c>
      <c r="O42" s="7">
        <v>34300</v>
      </c>
      <c r="P42" s="7"/>
      <c r="Q42" s="7">
        <v>0</v>
      </c>
      <c r="R42" s="7">
        <v>0</v>
      </c>
      <c r="S42" s="7"/>
      <c r="T42" s="7">
        <v>0</v>
      </c>
      <c r="U42" s="17">
        <v>0</v>
      </c>
    </row>
    <row r="43" spans="1:21">
      <c r="A43" t="s">
        <v>37</v>
      </c>
      <c r="B43" s="10">
        <v>917940.28128598724</v>
      </c>
      <c r="C43" s="7">
        <v>973988.71477118204</v>
      </c>
      <c r="D43" s="7">
        <v>0</v>
      </c>
      <c r="E43" s="7">
        <v>0</v>
      </c>
      <c r="F43" s="17">
        <f t="shared" si="1"/>
        <v>1891928.9960571693</v>
      </c>
      <c r="K43" s="10">
        <v>1117921</v>
      </c>
      <c r="L43" s="7">
        <v>0</v>
      </c>
      <c r="M43" s="7"/>
      <c r="N43" s="7">
        <v>1237317</v>
      </c>
      <c r="O43" s="7">
        <v>0</v>
      </c>
      <c r="P43" s="7"/>
      <c r="Q43" s="7">
        <v>0</v>
      </c>
      <c r="R43" s="7">
        <v>0</v>
      </c>
      <c r="S43" s="7"/>
      <c r="T43" s="7">
        <v>0</v>
      </c>
      <c r="U43" s="17">
        <v>0</v>
      </c>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7212.4901713538648</v>
      </c>
      <c r="C46" s="7">
        <v>17702.118561560452</v>
      </c>
      <c r="D46" s="7">
        <v>0</v>
      </c>
      <c r="E46" s="7">
        <v>0</v>
      </c>
      <c r="F46" s="17">
        <f t="shared" si="1"/>
        <v>24914.608732914316</v>
      </c>
      <c r="K46" s="10"/>
      <c r="L46" s="7"/>
      <c r="M46" s="7"/>
      <c r="N46" s="7"/>
      <c r="O46" s="7"/>
      <c r="P46" s="7"/>
      <c r="Q46" s="7"/>
      <c r="R46" s="7"/>
      <c r="S46" s="7"/>
      <c r="T46" s="7"/>
      <c r="U46" s="17"/>
    </row>
    <row r="47" spans="1:21">
      <c r="A47" t="s">
        <v>41</v>
      </c>
      <c r="B47" s="10">
        <v>77214.982298874034</v>
      </c>
      <c r="C47" s="7">
        <v>25527.972423740604</v>
      </c>
      <c r="D47" s="7">
        <v>0</v>
      </c>
      <c r="E47" s="7">
        <v>0</v>
      </c>
      <c r="F47" s="17">
        <f t="shared" si="1"/>
        <v>102742.95472261464</v>
      </c>
      <c r="K47" s="10">
        <v>275000</v>
      </c>
      <c r="L47" s="7">
        <v>0</v>
      </c>
      <c r="M47" s="7"/>
      <c r="N47" s="7">
        <v>87000</v>
      </c>
      <c r="O47" s="7">
        <v>0</v>
      </c>
      <c r="P47" s="7"/>
      <c r="Q47" s="7">
        <v>0</v>
      </c>
      <c r="R47" s="7">
        <v>0</v>
      </c>
      <c r="S47" s="7"/>
      <c r="T47" s="7">
        <v>0</v>
      </c>
      <c r="U47" s="17">
        <v>0</v>
      </c>
    </row>
    <row r="48" spans="1:21">
      <c r="A48" t="s">
        <v>42</v>
      </c>
      <c r="B48" s="10">
        <v>199648.26648111807</v>
      </c>
      <c r="C48" s="7">
        <v>42737.056420954752</v>
      </c>
      <c r="D48" s="7">
        <v>0</v>
      </c>
      <c r="E48" s="7">
        <v>0</v>
      </c>
      <c r="F48" s="17">
        <f t="shared" si="1"/>
        <v>242385.32290207283</v>
      </c>
      <c r="K48" s="10">
        <v>214000</v>
      </c>
      <c r="L48" s="7">
        <v>0</v>
      </c>
      <c r="M48" s="7"/>
      <c r="N48" s="7">
        <v>0</v>
      </c>
      <c r="O48" s="7">
        <v>0</v>
      </c>
      <c r="P48" s="7"/>
      <c r="Q48" s="7">
        <v>0</v>
      </c>
      <c r="R48" s="7">
        <v>0</v>
      </c>
      <c r="S48" s="7"/>
      <c r="T48" s="7">
        <v>0</v>
      </c>
      <c r="U48" s="17">
        <v>0</v>
      </c>
    </row>
    <row r="49" spans="1:21">
      <c r="A49" t="s">
        <v>43</v>
      </c>
      <c r="B49" s="10">
        <v>47039.598858062447</v>
      </c>
      <c r="C49" s="7">
        <v>77349.060924771038</v>
      </c>
      <c r="D49" s="7">
        <v>0</v>
      </c>
      <c r="E49" s="7">
        <v>0</v>
      </c>
      <c r="F49" s="17">
        <f t="shared" si="1"/>
        <v>124388.65978283348</v>
      </c>
      <c r="K49" s="10">
        <v>53000</v>
      </c>
      <c r="L49" s="7">
        <v>0</v>
      </c>
      <c r="M49" s="7"/>
      <c r="N49" s="7">
        <v>47000</v>
      </c>
      <c r="O49" s="7">
        <v>0</v>
      </c>
      <c r="P49" s="7"/>
      <c r="Q49" s="7">
        <v>0</v>
      </c>
      <c r="R49" s="7">
        <v>0</v>
      </c>
      <c r="S49" s="7"/>
      <c r="T49" s="7">
        <v>0</v>
      </c>
      <c r="U49" s="17">
        <v>0</v>
      </c>
    </row>
    <row r="50" spans="1:21">
      <c r="A50" t="s">
        <v>44</v>
      </c>
      <c r="B50" s="10">
        <v>404088.71059868258</v>
      </c>
      <c r="C50" s="7">
        <v>240487.02251293219</v>
      </c>
      <c r="D50" s="7">
        <v>0</v>
      </c>
      <c r="E50" s="7">
        <v>0</v>
      </c>
      <c r="F50" s="17">
        <f t="shared" si="1"/>
        <v>644575.73311161483</v>
      </c>
      <c r="K50" s="10">
        <v>820656</v>
      </c>
      <c r="L50" s="7">
        <v>145354.19570000001</v>
      </c>
      <c r="M50" s="7"/>
      <c r="N50" s="7">
        <v>50605</v>
      </c>
      <c r="O50" s="7">
        <v>8957.7101000000002</v>
      </c>
      <c r="P50" s="7"/>
      <c r="Q50" s="7">
        <v>17530</v>
      </c>
      <c r="R50" s="7">
        <v>3117.0942000000005</v>
      </c>
      <c r="S50" s="7"/>
      <c r="T50" s="7">
        <v>0</v>
      </c>
      <c r="U50" s="17">
        <v>0</v>
      </c>
    </row>
    <row r="51" spans="1:21">
      <c r="A51" t="s">
        <v>45</v>
      </c>
      <c r="B51" s="10">
        <v>115384.02695459504</v>
      </c>
      <c r="C51" s="7">
        <v>124063.03736393407</v>
      </c>
      <c r="D51" s="7">
        <v>0</v>
      </c>
      <c r="E51" s="7">
        <v>0</v>
      </c>
      <c r="F51" s="17">
        <f t="shared" si="1"/>
        <v>239447.0643185291</v>
      </c>
      <c r="K51" s="10">
        <v>502653</v>
      </c>
      <c r="L51" s="7">
        <v>238038</v>
      </c>
      <c r="M51" s="7"/>
      <c r="N51" s="7">
        <v>127347</v>
      </c>
      <c r="O51" s="7">
        <v>59510</v>
      </c>
      <c r="P51" s="7"/>
      <c r="Q51" s="7">
        <v>0</v>
      </c>
      <c r="R51" s="7">
        <v>0</v>
      </c>
      <c r="S51" s="7"/>
      <c r="T51" s="7">
        <v>0</v>
      </c>
      <c r="U51" s="17">
        <v>0</v>
      </c>
    </row>
    <row r="52" spans="1:21">
      <c r="A52" t="s">
        <v>46</v>
      </c>
      <c r="B52" s="10">
        <v>22357.728808814198</v>
      </c>
      <c r="C52" s="7">
        <v>12682.022272632807</v>
      </c>
      <c r="D52" s="7">
        <v>0</v>
      </c>
      <c r="E52" s="7">
        <v>0</v>
      </c>
      <c r="F52" s="17">
        <f t="shared" si="1"/>
        <v>35039.751081447001</v>
      </c>
      <c r="K52" s="10">
        <v>23664</v>
      </c>
      <c r="L52" s="7">
        <v>0</v>
      </c>
      <c r="M52" s="7"/>
      <c r="N52" s="7">
        <v>26356</v>
      </c>
      <c r="O52" s="7">
        <v>0</v>
      </c>
      <c r="P52" s="7"/>
      <c r="Q52" s="7">
        <v>0</v>
      </c>
      <c r="R52" s="7">
        <v>0</v>
      </c>
      <c r="S52" s="7"/>
      <c r="T52" s="7">
        <v>0</v>
      </c>
      <c r="U52" s="17">
        <v>0</v>
      </c>
    </row>
    <row r="53" spans="1:21">
      <c r="A53" t="s">
        <v>47</v>
      </c>
      <c r="B53" s="10">
        <v>125390.37753273401</v>
      </c>
      <c r="C53" s="7">
        <v>72436.086273533932</v>
      </c>
      <c r="D53" s="7">
        <v>0</v>
      </c>
      <c r="E53" s="7">
        <v>0</v>
      </c>
      <c r="F53" s="17">
        <f t="shared" si="1"/>
        <v>197826.46380626794</v>
      </c>
      <c r="K53" s="10">
        <v>161684</v>
      </c>
      <c r="L53" s="7">
        <v>0</v>
      </c>
      <c r="M53" s="7"/>
      <c r="N53" s="7">
        <v>80556</v>
      </c>
      <c r="O53" s="7">
        <v>0</v>
      </c>
      <c r="P53" s="7"/>
      <c r="Q53" s="7">
        <v>0</v>
      </c>
      <c r="R53" s="7">
        <v>0</v>
      </c>
      <c r="S53" s="7"/>
      <c r="T53" s="7">
        <v>0</v>
      </c>
      <c r="U53" s="17">
        <v>0</v>
      </c>
    </row>
    <row r="54" spans="1:21">
      <c r="A54" t="s">
        <v>48</v>
      </c>
      <c r="B54" s="10">
        <v>1904716.6875198563</v>
      </c>
      <c r="C54" s="7">
        <v>4337179.3564655064</v>
      </c>
      <c r="D54" s="7">
        <v>0</v>
      </c>
      <c r="E54" s="7">
        <v>0</v>
      </c>
      <c r="F54" s="17">
        <f t="shared" si="1"/>
        <v>6241896.0439853631</v>
      </c>
      <c r="K54" s="10">
        <v>2100000</v>
      </c>
      <c r="L54" s="7">
        <v>132392</v>
      </c>
      <c r="M54" s="7"/>
      <c r="N54" s="7">
        <v>4231613</v>
      </c>
      <c r="O54" s="7">
        <v>0</v>
      </c>
      <c r="P54" s="7"/>
      <c r="Q54" s="7">
        <v>0</v>
      </c>
      <c r="R54" s="7">
        <v>0</v>
      </c>
      <c r="S54" s="7"/>
      <c r="T54" s="7">
        <v>0</v>
      </c>
      <c r="U54" s="17">
        <v>0</v>
      </c>
    </row>
    <row r="55" spans="1:21">
      <c r="A55" t="s">
        <v>49</v>
      </c>
      <c r="B55" s="10">
        <v>5071.3125555022352</v>
      </c>
      <c r="C55" s="7">
        <v>1233.3762872756795</v>
      </c>
      <c r="D55" s="7">
        <v>0</v>
      </c>
      <c r="E55" s="7">
        <v>0</v>
      </c>
      <c r="F55" s="17">
        <f t="shared" si="1"/>
        <v>6304.6888427779149</v>
      </c>
      <c r="K55" s="10">
        <v>85455</v>
      </c>
      <c r="L55" s="7">
        <v>105938</v>
      </c>
      <c r="M55" s="7"/>
      <c r="N55" s="7">
        <v>14545</v>
      </c>
      <c r="O55" s="7">
        <v>18617</v>
      </c>
      <c r="P55" s="7"/>
      <c r="Q55" s="7">
        <v>0</v>
      </c>
      <c r="R55" s="7">
        <v>0</v>
      </c>
      <c r="S55" s="7"/>
      <c r="T55" s="7">
        <v>0</v>
      </c>
      <c r="U55" s="17">
        <v>0</v>
      </c>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58367.414795533259</v>
      </c>
      <c r="C57" s="7">
        <v>52788.368253799097</v>
      </c>
      <c r="D57" s="7">
        <v>0</v>
      </c>
      <c r="E57" s="7">
        <v>0</v>
      </c>
      <c r="F57" s="17">
        <f t="shared" si="1"/>
        <v>111155.78304933236</v>
      </c>
      <c r="K57" s="10">
        <v>84175</v>
      </c>
      <c r="L57" s="7">
        <v>0</v>
      </c>
      <c r="M57" s="7"/>
      <c r="N57" s="7">
        <v>60825</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12292075.87165805</v>
      </c>
      <c r="C60" s="7">
        <f>SUM(C6:C58)</f>
        <v>16141195.658341948</v>
      </c>
      <c r="D60" s="7">
        <f>SUM(D6:D58)</f>
        <v>0</v>
      </c>
      <c r="E60" s="7">
        <f>SUM(E6:E58)</f>
        <v>0</v>
      </c>
      <c r="F60" s="17">
        <f>SUM(F6:F58)</f>
        <v>28433271.529999997</v>
      </c>
      <c r="K60" s="10">
        <f>SUM(K6:K58)</f>
        <v>19125582</v>
      </c>
      <c r="L60" s="7">
        <f>SUM(L6:L58)</f>
        <v>1724917.1957</v>
      </c>
      <c r="M60" s="7"/>
      <c r="N60" s="7">
        <f>SUM(N6:N58)</f>
        <v>14801323</v>
      </c>
      <c r="O60" s="7">
        <f>SUM(O6:O58)</f>
        <v>323011.6201</v>
      </c>
      <c r="P60" s="7"/>
      <c r="Q60" s="7">
        <f>SUM(Q6:Q58)</f>
        <v>30659</v>
      </c>
      <c r="R60" s="7">
        <f>SUM(R6:R58)</f>
        <v>3117.0942000000005</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Italic"Pacific Standard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6186802.5975407092</v>
      </c>
      <c r="E6" s="7">
        <v>0</v>
      </c>
      <c r="F6" s="17">
        <f t="shared" ref="F6:F37" si="0">SUM(B6:E6)</f>
        <v>6186802.5975407092</v>
      </c>
      <c r="K6" s="10"/>
      <c r="L6" s="7"/>
      <c r="M6" s="7"/>
      <c r="N6" s="7"/>
      <c r="O6" s="7"/>
      <c r="P6" s="7"/>
      <c r="Q6" s="7"/>
      <c r="R6" s="7"/>
      <c r="S6" s="7"/>
      <c r="T6" s="7"/>
      <c r="U6" s="17"/>
    </row>
    <row r="7" spans="1:21">
      <c r="A7" t="s">
        <v>1</v>
      </c>
      <c r="B7" s="10">
        <v>0</v>
      </c>
      <c r="C7" s="7">
        <v>0</v>
      </c>
      <c r="D7" s="7">
        <v>654139.18663585931</v>
      </c>
      <c r="E7" s="7">
        <v>0</v>
      </c>
      <c r="F7" s="17">
        <f t="shared" si="0"/>
        <v>654139.18663585931</v>
      </c>
      <c r="H7" s="22"/>
      <c r="I7" s="24"/>
      <c r="K7" s="10"/>
      <c r="L7" s="7"/>
      <c r="M7" s="7"/>
      <c r="N7" s="7"/>
      <c r="O7" s="7"/>
      <c r="P7" s="7"/>
      <c r="Q7" s="7"/>
      <c r="R7" s="7"/>
      <c r="S7" s="7"/>
      <c r="T7" s="7"/>
      <c r="U7" s="17"/>
    </row>
    <row r="8" spans="1:21">
      <c r="A8" t="s">
        <v>2</v>
      </c>
      <c r="B8" s="10">
        <v>0</v>
      </c>
      <c r="C8" s="7">
        <v>0</v>
      </c>
      <c r="D8" s="7">
        <v>97420196.716252476</v>
      </c>
      <c r="E8" s="7">
        <v>0</v>
      </c>
      <c r="F8" s="17">
        <f t="shared" si="0"/>
        <v>97420196.716252476</v>
      </c>
      <c r="H8" s="4" t="s">
        <v>64</v>
      </c>
      <c r="I8" s="13"/>
      <c r="K8" s="10"/>
      <c r="L8" s="7"/>
      <c r="M8" s="7"/>
      <c r="N8" s="7"/>
      <c r="O8" s="7"/>
      <c r="P8" s="7"/>
      <c r="Q8" s="7"/>
      <c r="R8" s="7"/>
      <c r="S8" s="7"/>
      <c r="T8" s="7"/>
      <c r="U8" s="17"/>
    </row>
    <row r="9" spans="1:21">
      <c r="A9" t="s">
        <v>3</v>
      </c>
      <c r="B9" s="10">
        <v>0</v>
      </c>
      <c r="C9" s="7">
        <v>0</v>
      </c>
      <c r="D9" s="7">
        <v>4237441.5961053101</v>
      </c>
      <c r="E9" s="7">
        <v>0</v>
      </c>
      <c r="F9" s="17">
        <f t="shared" si="0"/>
        <v>4237441.5961053101</v>
      </c>
      <c r="H9" s="4"/>
      <c r="I9" s="13"/>
      <c r="K9" s="10">
        <v>0</v>
      </c>
      <c r="L9" s="7">
        <v>0</v>
      </c>
      <c r="M9" s="7"/>
      <c r="N9" s="7">
        <v>0</v>
      </c>
      <c r="O9" s="7">
        <v>0</v>
      </c>
      <c r="P9" s="7"/>
      <c r="Q9" s="7">
        <v>0</v>
      </c>
      <c r="R9" s="7">
        <v>0</v>
      </c>
      <c r="S9" s="7"/>
      <c r="T9" s="7">
        <v>0</v>
      </c>
      <c r="U9" s="17">
        <v>0</v>
      </c>
    </row>
    <row r="10" spans="1:21">
      <c r="A10" t="s">
        <v>4</v>
      </c>
      <c r="B10" s="10">
        <v>0</v>
      </c>
      <c r="C10" s="7">
        <v>0</v>
      </c>
      <c r="D10" s="7">
        <v>369504848.63869679</v>
      </c>
      <c r="E10" s="7">
        <v>0</v>
      </c>
      <c r="F10" s="17">
        <f t="shared" si="0"/>
        <v>369504848.63869679</v>
      </c>
      <c r="H10" s="4" t="s">
        <v>65</v>
      </c>
      <c r="I10" s="14">
        <v>2532558214.1760917</v>
      </c>
      <c r="K10" s="10"/>
      <c r="L10" s="7"/>
      <c r="M10" s="7"/>
      <c r="N10" s="7"/>
      <c r="O10" s="7"/>
      <c r="P10" s="7"/>
      <c r="Q10" s="7"/>
      <c r="R10" s="7"/>
      <c r="S10" s="7"/>
      <c r="T10" s="7"/>
      <c r="U10" s="17"/>
    </row>
    <row r="11" spans="1:21">
      <c r="A11" t="s">
        <v>5</v>
      </c>
      <c r="B11" s="10">
        <v>0</v>
      </c>
      <c r="C11" s="7">
        <v>0</v>
      </c>
      <c r="D11" s="7">
        <v>36290432.627335869</v>
      </c>
      <c r="E11" s="7">
        <v>0</v>
      </c>
      <c r="F11" s="17">
        <f t="shared" si="0"/>
        <v>36290432.627335869</v>
      </c>
      <c r="H11" s="4"/>
      <c r="I11" s="14"/>
      <c r="K11" s="10"/>
      <c r="L11" s="7"/>
      <c r="M11" s="7"/>
      <c r="N11" s="7"/>
      <c r="O11" s="7"/>
      <c r="P11" s="7"/>
      <c r="Q11" s="7"/>
      <c r="R11" s="7"/>
      <c r="S11" s="7"/>
      <c r="T11" s="7"/>
      <c r="U11" s="17"/>
    </row>
    <row r="12" spans="1:21">
      <c r="A12" t="s">
        <v>6</v>
      </c>
      <c r="B12" s="10">
        <v>0</v>
      </c>
      <c r="C12" s="7">
        <v>0</v>
      </c>
      <c r="D12" s="7">
        <v>3717154.7791803945</v>
      </c>
      <c r="E12" s="7">
        <v>0</v>
      </c>
      <c r="F12" s="17">
        <f t="shared" si="0"/>
        <v>3717154.7791803945</v>
      </c>
      <c r="H12" s="4" t="s">
        <v>66</v>
      </c>
      <c r="I12" s="14"/>
      <c r="K12" s="10"/>
      <c r="L12" s="7"/>
      <c r="M12" s="7"/>
      <c r="N12" s="7"/>
      <c r="O12" s="7"/>
      <c r="P12" s="7"/>
      <c r="Q12" s="7"/>
      <c r="R12" s="7"/>
      <c r="S12" s="7"/>
      <c r="T12" s="7"/>
      <c r="U12" s="17"/>
    </row>
    <row r="13" spans="1:21">
      <c r="A13" t="s">
        <v>7</v>
      </c>
      <c r="B13" s="10">
        <v>0</v>
      </c>
      <c r="C13" s="7">
        <v>0</v>
      </c>
      <c r="D13" s="7">
        <v>2474780.3437726921</v>
      </c>
      <c r="E13" s="7">
        <v>0</v>
      </c>
      <c r="F13" s="17">
        <f t="shared" si="0"/>
        <v>2474780.3437726921</v>
      </c>
      <c r="H13" s="4" t="s">
        <v>67</v>
      </c>
      <c r="I13" s="14">
        <v>0</v>
      </c>
      <c r="K13" s="10"/>
      <c r="L13" s="7"/>
      <c r="M13" s="7"/>
      <c r="N13" s="7"/>
      <c r="O13" s="7"/>
      <c r="P13" s="7"/>
      <c r="Q13" s="7"/>
      <c r="R13" s="7"/>
      <c r="S13" s="7"/>
      <c r="T13" s="7"/>
      <c r="U13" s="17"/>
    </row>
    <row r="14" spans="1:21">
      <c r="A14" t="s">
        <v>8</v>
      </c>
      <c r="B14" s="10">
        <v>0</v>
      </c>
      <c r="C14" s="7">
        <v>0</v>
      </c>
      <c r="D14" s="7">
        <v>3859.658505134631</v>
      </c>
      <c r="E14" s="7">
        <v>0</v>
      </c>
      <c r="F14" s="17">
        <f t="shared" si="0"/>
        <v>3859.658505134631</v>
      </c>
      <c r="H14" s="4" t="s">
        <v>68</v>
      </c>
      <c r="I14" s="14">
        <v>0</v>
      </c>
      <c r="K14" s="10"/>
      <c r="L14" s="7"/>
      <c r="M14" s="7"/>
      <c r="N14" s="7"/>
      <c r="O14" s="7"/>
      <c r="P14" s="7"/>
      <c r="Q14" s="7"/>
      <c r="R14" s="7"/>
      <c r="S14" s="7"/>
      <c r="T14" s="7"/>
      <c r="U14" s="17"/>
    </row>
    <row r="15" spans="1:21">
      <c r="A15" t="s">
        <v>9</v>
      </c>
      <c r="B15" s="10">
        <v>0</v>
      </c>
      <c r="C15" s="7">
        <v>0</v>
      </c>
      <c r="D15" s="7">
        <v>309773575.21581751</v>
      </c>
      <c r="E15" s="7">
        <v>0</v>
      </c>
      <c r="F15" s="17">
        <f t="shared" si="0"/>
        <v>309773575.21581751</v>
      </c>
      <c r="H15" s="4" t="s">
        <v>69</v>
      </c>
      <c r="I15" s="14">
        <v>7928683.9035551064</v>
      </c>
      <c r="K15" s="10"/>
      <c r="L15" s="7"/>
      <c r="M15" s="7"/>
      <c r="N15" s="7"/>
      <c r="O15" s="7"/>
      <c r="P15" s="7"/>
      <c r="Q15" s="7"/>
      <c r="R15" s="7"/>
      <c r="S15" s="7"/>
      <c r="T15" s="7"/>
      <c r="U15" s="17"/>
    </row>
    <row r="16" spans="1:21">
      <c r="A16" t="s">
        <v>10</v>
      </c>
      <c r="B16" s="10">
        <v>0</v>
      </c>
      <c r="C16" s="7">
        <v>0</v>
      </c>
      <c r="D16" s="7">
        <v>56116414.578943968</v>
      </c>
      <c r="E16" s="7">
        <v>0</v>
      </c>
      <c r="F16" s="17">
        <f t="shared" si="0"/>
        <v>56116414.578943968</v>
      </c>
      <c r="H16" s="4" t="s">
        <v>70</v>
      </c>
      <c r="I16" s="14">
        <v>2017499469.6793797</v>
      </c>
      <c r="K16" s="10"/>
      <c r="L16" s="7"/>
      <c r="M16" s="7"/>
      <c r="N16" s="7"/>
      <c r="O16" s="7"/>
      <c r="P16" s="7"/>
      <c r="Q16" s="7"/>
      <c r="R16" s="7"/>
      <c r="S16" s="7"/>
      <c r="T16" s="7"/>
      <c r="U16" s="17"/>
    </row>
    <row r="17" spans="1:21">
      <c r="A17" t="s">
        <v>11</v>
      </c>
      <c r="B17" s="10">
        <v>0</v>
      </c>
      <c r="C17" s="7">
        <v>0</v>
      </c>
      <c r="D17" s="7">
        <v>5523173.3183523156</v>
      </c>
      <c r="E17" s="7">
        <v>0</v>
      </c>
      <c r="F17" s="17">
        <f t="shared" si="0"/>
        <v>5523173.3183523156</v>
      </c>
      <c r="H17" s="4"/>
      <c r="I17" s="14"/>
      <c r="K17" s="10"/>
      <c r="L17" s="7"/>
      <c r="M17" s="7"/>
      <c r="N17" s="7"/>
      <c r="O17" s="7"/>
      <c r="P17" s="7"/>
      <c r="Q17" s="7"/>
      <c r="R17" s="7"/>
      <c r="S17" s="7"/>
      <c r="T17" s="7"/>
      <c r="U17" s="17"/>
    </row>
    <row r="18" spans="1:21">
      <c r="A18" t="s">
        <v>12</v>
      </c>
      <c r="B18" s="10">
        <v>0</v>
      </c>
      <c r="C18" s="7">
        <v>0</v>
      </c>
      <c r="D18" s="7">
        <v>7049003.1473599905</v>
      </c>
      <c r="E18" s="7">
        <v>0</v>
      </c>
      <c r="F18" s="17">
        <f t="shared" si="0"/>
        <v>7049003.1473599905</v>
      </c>
      <c r="H18" s="4" t="s">
        <v>71</v>
      </c>
      <c r="I18" s="14"/>
      <c r="K18" s="10"/>
      <c r="L18" s="7"/>
      <c r="M18" s="7"/>
      <c r="N18" s="7"/>
      <c r="O18" s="7"/>
      <c r="P18" s="7"/>
      <c r="Q18" s="7"/>
      <c r="R18" s="7"/>
      <c r="S18" s="7"/>
      <c r="T18" s="7"/>
      <c r="U18" s="17"/>
    </row>
    <row r="19" spans="1:21">
      <c r="A19" t="s">
        <v>13</v>
      </c>
      <c r="B19" s="10">
        <v>0</v>
      </c>
      <c r="C19" s="7">
        <v>0</v>
      </c>
      <c r="D19" s="7">
        <v>76056016.322622046</v>
      </c>
      <c r="E19" s="7">
        <v>0</v>
      </c>
      <c r="F19" s="17">
        <f t="shared" si="0"/>
        <v>76056016.322622046</v>
      </c>
      <c r="H19" s="4" t="s">
        <v>72</v>
      </c>
      <c r="I19" s="14">
        <v>515058744.49671215</v>
      </c>
      <c r="K19" s="10"/>
      <c r="L19" s="7"/>
      <c r="M19" s="7"/>
      <c r="N19" s="7"/>
      <c r="O19" s="7"/>
      <c r="P19" s="7"/>
      <c r="Q19" s="7"/>
      <c r="R19" s="7"/>
      <c r="S19" s="7"/>
      <c r="T19" s="7"/>
      <c r="U19" s="17"/>
    </row>
    <row r="20" spans="1:21">
      <c r="A20" t="s">
        <v>14</v>
      </c>
      <c r="B20" s="10">
        <v>0</v>
      </c>
      <c r="C20" s="7">
        <v>0</v>
      </c>
      <c r="D20" s="7">
        <v>19442935.661695685</v>
      </c>
      <c r="E20" s="7">
        <v>0</v>
      </c>
      <c r="F20" s="17">
        <f t="shared" si="0"/>
        <v>19442935.661695685</v>
      </c>
      <c r="H20" s="4" t="s">
        <v>73</v>
      </c>
      <c r="I20" s="14">
        <v>2017499469.6793797</v>
      </c>
      <c r="K20" s="10"/>
      <c r="L20" s="7"/>
      <c r="M20" s="7"/>
      <c r="N20" s="7"/>
      <c r="O20" s="7"/>
      <c r="P20" s="7"/>
      <c r="Q20" s="7"/>
      <c r="R20" s="7"/>
      <c r="S20" s="7"/>
      <c r="T20" s="7"/>
      <c r="U20" s="17"/>
    </row>
    <row r="21" spans="1:21">
      <c r="A21" t="s">
        <v>15</v>
      </c>
      <c r="B21" s="10">
        <v>0</v>
      </c>
      <c r="C21" s="7">
        <v>0</v>
      </c>
      <c r="D21" s="7">
        <v>62324887.823714882</v>
      </c>
      <c r="E21" s="7">
        <v>0</v>
      </c>
      <c r="F21" s="17">
        <f t="shared" si="0"/>
        <v>62324887.823714882</v>
      </c>
      <c r="H21" s="4" t="s">
        <v>74</v>
      </c>
      <c r="I21" s="14"/>
      <c r="K21" s="10"/>
      <c r="L21" s="7"/>
      <c r="M21" s="7"/>
      <c r="N21" s="7"/>
      <c r="O21" s="7"/>
      <c r="P21" s="7"/>
      <c r="Q21" s="7"/>
      <c r="R21" s="7"/>
      <c r="S21" s="7"/>
      <c r="T21" s="7"/>
      <c r="U21" s="17"/>
    </row>
    <row r="22" spans="1:21">
      <c r="A22" t="s">
        <v>16</v>
      </c>
      <c r="B22" s="10">
        <v>0</v>
      </c>
      <c r="C22" s="7">
        <v>0</v>
      </c>
      <c r="D22" s="7">
        <v>14064.347875128387</v>
      </c>
      <c r="E22" s="7">
        <v>0</v>
      </c>
      <c r="F22" s="17">
        <f t="shared" si="0"/>
        <v>14064.347875128387</v>
      </c>
      <c r="H22" s="4" t="s">
        <v>75</v>
      </c>
      <c r="I22" s="14">
        <v>0</v>
      </c>
      <c r="K22" s="10"/>
      <c r="L22" s="7"/>
      <c r="M22" s="7"/>
      <c r="N22" s="7"/>
      <c r="O22" s="7"/>
      <c r="P22" s="7"/>
      <c r="Q22" s="7"/>
      <c r="R22" s="7"/>
      <c r="S22" s="7"/>
      <c r="T22" s="7"/>
      <c r="U22" s="17"/>
    </row>
    <row r="23" spans="1:21">
      <c r="A23" t="s">
        <v>17</v>
      </c>
      <c r="B23" s="10">
        <v>0</v>
      </c>
      <c r="C23" s="7">
        <v>0</v>
      </c>
      <c r="D23" s="7">
        <v>23877404.362148918</v>
      </c>
      <c r="E23" s="7">
        <v>0</v>
      </c>
      <c r="F23" s="17">
        <f t="shared" si="0"/>
        <v>23877404.362148918</v>
      </c>
      <c r="H23" s="4" t="s">
        <v>76</v>
      </c>
      <c r="I23" s="14"/>
      <c r="K23" s="10"/>
      <c r="L23" s="7"/>
      <c r="M23" s="7"/>
      <c r="N23" s="7"/>
      <c r="O23" s="7"/>
      <c r="P23" s="7"/>
      <c r="Q23" s="7"/>
      <c r="R23" s="7"/>
      <c r="S23" s="7"/>
      <c r="T23" s="7"/>
      <c r="U23" s="17"/>
    </row>
    <row r="24" spans="1:21">
      <c r="A24" t="s">
        <v>18</v>
      </c>
      <c r="B24" s="10">
        <v>0</v>
      </c>
      <c r="C24" s="7">
        <v>0</v>
      </c>
      <c r="D24" s="7">
        <v>10697916.845884925</v>
      </c>
      <c r="E24" s="7">
        <v>0</v>
      </c>
      <c r="F24" s="17">
        <f t="shared" si="0"/>
        <v>10697916.845884925</v>
      </c>
      <c r="H24" s="4" t="s">
        <v>77</v>
      </c>
      <c r="I24" s="14">
        <v>0</v>
      </c>
      <c r="K24" s="10"/>
      <c r="L24" s="7"/>
      <c r="M24" s="7"/>
      <c r="N24" s="7"/>
      <c r="O24" s="7"/>
      <c r="P24" s="7"/>
      <c r="Q24" s="7"/>
      <c r="R24" s="7"/>
      <c r="S24" s="7"/>
      <c r="T24" s="7"/>
      <c r="U24" s="17"/>
    </row>
    <row r="25" spans="1:21">
      <c r="A25" t="s">
        <v>19</v>
      </c>
      <c r="B25" s="10">
        <v>0</v>
      </c>
      <c r="C25" s="7">
        <v>0</v>
      </c>
      <c r="D25" s="7">
        <v>2580.0879058627679</v>
      </c>
      <c r="E25" s="7">
        <v>0</v>
      </c>
      <c r="F25" s="17">
        <f t="shared" si="0"/>
        <v>2580.0879058627679</v>
      </c>
      <c r="H25" s="4"/>
      <c r="I25" s="14"/>
      <c r="K25" s="10"/>
      <c r="L25" s="7"/>
      <c r="M25" s="7"/>
      <c r="N25" s="7"/>
      <c r="O25" s="7"/>
      <c r="P25" s="7"/>
      <c r="Q25" s="7"/>
      <c r="R25" s="7"/>
      <c r="S25" s="7"/>
      <c r="T25" s="7"/>
      <c r="U25" s="17"/>
    </row>
    <row r="26" spans="1:21">
      <c r="A26" t="s">
        <v>20</v>
      </c>
      <c r="B26" s="10">
        <v>0</v>
      </c>
      <c r="C26" s="7">
        <v>0</v>
      </c>
      <c r="D26" s="7">
        <v>24743735.269985285</v>
      </c>
      <c r="E26" s="7">
        <v>0</v>
      </c>
      <c r="F26" s="17">
        <f t="shared" si="0"/>
        <v>24743735.269985285</v>
      </c>
      <c r="H26" s="4" t="s">
        <v>78</v>
      </c>
      <c r="I26" s="14">
        <f>SUM(I10:I16)-SUM(I19:I24)</f>
        <v>2025428153.5829349</v>
      </c>
      <c r="K26" s="10"/>
      <c r="L26" s="7"/>
      <c r="M26" s="7"/>
      <c r="N26" s="7"/>
      <c r="O26" s="7"/>
      <c r="P26" s="7"/>
      <c r="Q26" s="7"/>
      <c r="R26" s="7"/>
      <c r="S26" s="7"/>
      <c r="T26" s="7"/>
      <c r="U26" s="17"/>
    </row>
    <row r="27" spans="1:21">
      <c r="A27" t="s">
        <v>21</v>
      </c>
      <c r="B27" s="10">
        <v>0</v>
      </c>
      <c r="C27" s="7">
        <v>0</v>
      </c>
      <c r="D27" s="7">
        <v>7323.1510240178304</v>
      </c>
      <c r="E27" s="7">
        <v>0</v>
      </c>
      <c r="F27" s="17">
        <f t="shared" si="0"/>
        <v>7323.1510240178304</v>
      </c>
      <c r="H27" s="4" t="s">
        <v>79</v>
      </c>
      <c r="I27" s="14">
        <f>+F60</f>
        <v>2025428153.5829346</v>
      </c>
      <c r="K27" s="10"/>
      <c r="L27" s="7"/>
      <c r="M27" s="7"/>
      <c r="N27" s="7"/>
      <c r="O27" s="7"/>
      <c r="P27" s="7"/>
      <c r="Q27" s="7"/>
      <c r="R27" s="7"/>
      <c r="S27" s="7"/>
      <c r="T27" s="7"/>
      <c r="U27" s="17"/>
    </row>
    <row r="28" spans="1:21">
      <c r="A28" t="s">
        <v>22</v>
      </c>
      <c r="B28" s="10">
        <v>0</v>
      </c>
      <c r="C28" s="7">
        <v>0</v>
      </c>
      <c r="D28" s="7">
        <v>27925007.713545274</v>
      </c>
      <c r="E28" s="7">
        <v>0</v>
      </c>
      <c r="F28" s="17">
        <f t="shared" si="0"/>
        <v>27925007.713545274</v>
      </c>
      <c r="H28" s="23"/>
      <c r="I28" s="25"/>
      <c r="K28" s="10"/>
      <c r="L28" s="7"/>
      <c r="M28" s="7"/>
      <c r="N28" s="7"/>
      <c r="O28" s="7"/>
      <c r="P28" s="7"/>
      <c r="Q28" s="7"/>
      <c r="R28" s="7"/>
      <c r="S28" s="7"/>
      <c r="T28" s="7"/>
      <c r="U28" s="17"/>
    </row>
    <row r="29" spans="1:21">
      <c r="A29" t="s">
        <v>23</v>
      </c>
      <c r="B29" s="10">
        <v>0</v>
      </c>
      <c r="C29" s="7">
        <v>0</v>
      </c>
      <c r="D29" s="7">
        <v>3962048.6917892424</v>
      </c>
      <c r="E29" s="7">
        <v>0</v>
      </c>
      <c r="F29" s="17">
        <f t="shared" si="0"/>
        <v>3962048.6917892424</v>
      </c>
      <c r="K29" s="10"/>
      <c r="L29" s="7"/>
      <c r="M29" s="7"/>
      <c r="N29" s="7"/>
      <c r="O29" s="7"/>
      <c r="P29" s="7"/>
      <c r="Q29" s="7"/>
      <c r="R29" s="7"/>
      <c r="S29" s="7"/>
      <c r="T29" s="7"/>
      <c r="U29" s="17"/>
    </row>
    <row r="30" spans="1:21">
      <c r="A30" t="s">
        <v>24</v>
      </c>
      <c r="B30" s="10">
        <v>0</v>
      </c>
      <c r="C30" s="7">
        <v>0</v>
      </c>
      <c r="D30" s="7">
        <v>6257627.3367274906</v>
      </c>
      <c r="E30" s="7">
        <v>0</v>
      </c>
      <c r="F30" s="17">
        <f t="shared" si="0"/>
        <v>6257627.3367274906</v>
      </c>
      <c r="K30" s="10"/>
      <c r="L30" s="7"/>
      <c r="M30" s="7"/>
      <c r="N30" s="7"/>
      <c r="O30" s="7"/>
      <c r="P30" s="7"/>
      <c r="Q30" s="7"/>
      <c r="R30" s="7"/>
      <c r="S30" s="7"/>
      <c r="T30" s="7"/>
      <c r="U30" s="17"/>
    </row>
    <row r="31" spans="1:21">
      <c r="A31" t="s">
        <v>25</v>
      </c>
      <c r="B31" s="10">
        <v>0</v>
      </c>
      <c r="C31" s="7">
        <v>0</v>
      </c>
      <c r="D31" s="7">
        <v>10094985.623863393</v>
      </c>
      <c r="E31" s="7">
        <v>0</v>
      </c>
      <c r="F31" s="17">
        <f t="shared" si="0"/>
        <v>10094985.623863393</v>
      </c>
      <c r="K31" s="10"/>
      <c r="L31" s="7"/>
      <c r="M31" s="7"/>
      <c r="N31" s="7"/>
      <c r="O31" s="7"/>
      <c r="P31" s="7"/>
      <c r="Q31" s="7"/>
      <c r="R31" s="7"/>
      <c r="S31" s="7"/>
      <c r="T31" s="7"/>
      <c r="U31" s="17"/>
    </row>
    <row r="32" spans="1:21">
      <c r="A32" t="s">
        <v>26</v>
      </c>
      <c r="B32" s="10">
        <v>0</v>
      </c>
      <c r="C32" s="7">
        <v>0</v>
      </c>
      <c r="D32" s="7">
        <v>3596620.4968629866</v>
      </c>
      <c r="E32" s="7">
        <v>0</v>
      </c>
      <c r="F32" s="17">
        <f t="shared" si="0"/>
        <v>3596620.4968629866</v>
      </c>
      <c r="K32" s="10"/>
      <c r="L32" s="7"/>
      <c r="M32" s="7"/>
      <c r="N32" s="7"/>
      <c r="O32" s="7"/>
      <c r="P32" s="7"/>
      <c r="Q32" s="7"/>
      <c r="R32" s="7"/>
      <c r="S32" s="7"/>
      <c r="T32" s="7"/>
      <c r="U32" s="17"/>
    </row>
    <row r="33" spans="1:21">
      <c r="A33" t="s">
        <v>27</v>
      </c>
      <c r="B33" s="10">
        <v>0</v>
      </c>
      <c r="C33" s="7">
        <v>0</v>
      </c>
      <c r="D33" s="7">
        <v>21466258.088230543</v>
      </c>
      <c r="E33" s="7">
        <v>0</v>
      </c>
      <c r="F33" s="17">
        <f t="shared" si="0"/>
        <v>21466258.088230543</v>
      </c>
      <c r="K33" s="10"/>
      <c r="L33" s="7"/>
      <c r="M33" s="7"/>
      <c r="N33" s="7"/>
      <c r="O33" s="7"/>
      <c r="P33" s="7"/>
      <c r="Q33" s="7"/>
      <c r="R33" s="7"/>
      <c r="S33" s="7"/>
      <c r="T33" s="7"/>
      <c r="U33" s="17"/>
    </row>
    <row r="34" spans="1:21">
      <c r="A34" t="s">
        <v>28</v>
      </c>
      <c r="B34" s="10">
        <v>0</v>
      </c>
      <c r="C34" s="7">
        <v>0</v>
      </c>
      <c r="D34" s="7">
        <v>4582042.1977131274</v>
      </c>
      <c r="E34" s="7">
        <v>0</v>
      </c>
      <c r="F34" s="17">
        <f t="shared" si="0"/>
        <v>4582042.1977131274</v>
      </c>
      <c r="K34" s="10"/>
      <c r="L34" s="7"/>
      <c r="M34" s="7"/>
      <c r="N34" s="7"/>
      <c r="O34" s="7"/>
      <c r="P34" s="7"/>
      <c r="Q34" s="7"/>
      <c r="R34" s="7"/>
      <c r="S34" s="7"/>
      <c r="T34" s="7"/>
      <c r="U34" s="17"/>
    </row>
    <row r="35" spans="1:21">
      <c r="A35" t="s">
        <v>29</v>
      </c>
      <c r="B35" s="10">
        <v>0</v>
      </c>
      <c r="C35" s="7">
        <v>0</v>
      </c>
      <c r="D35" s="7">
        <v>5088004.4381759865</v>
      </c>
      <c r="E35" s="7">
        <v>0</v>
      </c>
      <c r="F35" s="17">
        <f t="shared" si="0"/>
        <v>5088004.4381759865</v>
      </c>
      <c r="K35" s="10"/>
      <c r="L35" s="7"/>
      <c r="M35" s="7"/>
      <c r="N35" s="7"/>
      <c r="O35" s="7"/>
      <c r="P35" s="7"/>
      <c r="Q35" s="7"/>
      <c r="R35" s="7"/>
      <c r="S35" s="7"/>
      <c r="T35" s="7"/>
      <c r="U35" s="17"/>
    </row>
    <row r="36" spans="1:21">
      <c r="A36" t="s">
        <v>30</v>
      </c>
      <c r="B36" s="10">
        <v>0</v>
      </c>
      <c r="C36" s="7">
        <v>0</v>
      </c>
      <c r="D36" s="7">
        <v>243136.62838975753</v>
      </c>
      <c r="E36" s="7">
        <v>0</v>
      </c>
      <c r="F36" s="17">
        <f t="shared" si="0"/>
        <v>243136.62838975753</v>
      </c>
      <c r="K36" s="10"/>
      <c r="L36" s="7"/>
      <c r="M36" s="7"/>
      <c r="N36" s="7"/>
      <c r="O36" s="7"/>
      <c r="P36" s="7"/>
      <c r="Q36" s="7"/>
      <c r="R36" s="7"/>
      <c r="S36" s="7"/>
      <c r="T36" s="7"/>
      <c r="U36" s="17"/>
    </row>
    <row r="37" spans="1:21">
      <c r="A37" t="s">
        <v>31</v>
      </c>
      <c r="B37" s="10">
        <v>0</v>
      </c>
      <c r="C37" s="7">
        <v>0</v>
      </c>
      <c r="D37" s="7">
        <v>8065931.1804960417</v>
      </c>
      <c r="E37" s="7">
        <v>0</v>
      </c>
      <c r="F37" s="17">
        <f t="shared" si="0"/>
        <v>8065931.1804960417</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81277016.677570105</v>
      </c>
      <c r="E39" s="7">
        <v>0</v>
      </c>
      <c r="F39" s="17">
        <f t="shared" si="1"/>
        <v>81277016.677570105</v>
      </c>
      <c r="K39" s="10"/>
      <c r="L39" s="7"/>
      <c r="M39" s="7"/>
      <c r="N39" s="7"/>
      <c r="O39" s="7"/>
      <c r="P39" s="7"/>
      <c r="Q39" s="7"/>
      <c r="R39" s="7"/>
      <c r="S39" s="7"/>
      <c r="T39" s="7"/>
      <c r="U39" s="17"/>
    </row>
    <row r="40" spans="1:21">
      <c r="A40" t="s">
        <v>34</v>
      </c>
      <c r="B40" s="10">
        <v>0</v>
      </c>
      <c r="C40" s="7">
        <v>0</v>
      </c>
      <c r="D40" s="7">
        <v>2455676.0508155078</v>
      </c>
      <c r="E40" s="7">
        <v>0</v>
      </c>
      <c r="F40" s="17">
        <f t="shared" si="1"/>
        <v>2455676.0508155078</v>
      </c>
      <c r="K40" s="10"/>
      <c r="L40" s="7"/>
      <c r="M40" s="7"/>
      <c r="N40" s="7"/>
      <c r="O40" s="7"/>
      <c r="P40" s="7"/>
      <c r="Q40" s="7"/>
      <c r="R40" s="7"/>
      <c r="S40" s="7"/>
      <c r="T40" s="7"/>
      <c r="U40" s="17"/>
    </row>
    <row r="41" spans="1:21">
      <c r="A41" t="s">
        <v>35</v>
      </c>
      <c r="B41" s="10">
        <v>0</v>
      </c>
      <c r="C41" s="7">
        <v>0</v>
      </c>
      <c r="D41" s="7">
        <v>23653629.835075777</v>
      </c>
      <c r="E41" s="7">
        <v>0</v>
      </c>
      <c r="F41" s="17">
        <f t="shared" si="1"/>
        <v>23653629.835075777</v>
      </c>
      <c r="K41" s="10"/>
      <c r="L41" s="7"/>
      <c r="M41" s="7"/>
      <c r="N41" s="7"/>
      <c r="O41" s="7"/>
      <c r="P41" s="7"/>
      <c r="Q41" s="7"/>
      <c r="R41" s="7"/>
      <c r="S41" s="7"/>
      <c r="T41" s="7"/>
      <c r="U41" s="17"/>
    </row>
    <row r="42" spans="1:21">
      <c r="A42" t="s">
        <v>36</v>
      </c>
      <c r="B42" s="10">
        <v>0</v>
      </c>
      <c r="C42" s="7">
        <v>0</v>
      </c>
      <c r="D42" s="7">
        <v>10793616.062888201</v>
      </c>
      <c r="E42" s="7">
        <v>0</v>
      </c>
      <c r="F42" s="17">
        <f t="shared" si="1"/>
        <v>10793616.062888201</v>
      </c>
      <c r="K42" s="10"/>
      <c r="L42" s="7"/>
      <c r="M42" s="7"/>
      <c r="N42" s="7"/>
      <c r="O42" s="7"/>
      <c r="P42" s="7"/>
      <c r="Q42" s="7"/>
      <c r="R42" s="7"/>
      <c r="S42" s="7"/>
      <c r="T42" s="7"/>
      <c r="U42" s="17"/>
    </row>
    <row r="43" spans="1:21">
      <c r="A43" t="s">
        <v>37</v>
      </c>
      <c r="B43" s="10">
        <v>0</v>
      </c>
      <c r="C43" s="7">
        <v>0</v>
      </c>
      <c r="D43" s="7">
        <v>6027704.2761068493</v>
      </c>
      <c r="E43" s="7">
        <v>0</v>
      </c>
      <c r="F43" s="17">
        <f t="shared" si="1"/>
        <v>6027704.2761068493</v>
      </c>
      <c r="K43" s="10"/>
      <c r="L43" s="7"/>
      <c r="M43" s="7"/>
      <c r="N43" s="7"/>
      <c r="O43" s="7"/>
      <c r="P43" s="7"/>
      <c r="Q43" s="7"/>
      <c r="R43" s="7"/>
      <c r="S43" s="7"/>
      <c r="T43" s="7"/>
      <c r="U43" s="17"/>
    </row>
    <row r="44" spans="1:21">
      <c r="A44" t="s">
        <v>38</v>
      </c>
      <c r="B44" s="10">
        <v>0</v>
      </c>
      <c r="C44" s="7">
        <v>0</v>
      </c>
      <c r="D44" s="7">
        <v>247765711.13134548</v>
      </c>
      <c r="E44" s="7">
        <v>0</v>
      </c>
      <c r="F44" s="17">
        <f t="shared" si="1"/>
        <v>247765711.13134548</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1327921.1913780076</v>
      </c>
      <c r="E46" s="7">
        <v>0</v>
      </c>
      <c r="F46" s="17">
        <f t="shared" si="1"/>
        <v>1327921.1913780076</v>
      </c>
      <c r="K46" s="10"/>
      <c r="L46" s="7"/>
      <c r="M46" s="7"/>
      <c r="N46" s="7"/>
      <c r="O46" s="7"/>
      <c r="P46" s="7"/>
      <c r="Q46" s="7"/>
      <c r="R46" s="7"/>
      <c r="S46" s="7"/>
      <c r="T46" s="7"/>
      <c r="U46" s="17"/>
    </row>
    <row r="47" spans="1:21">
      <c r="A47" t="s">
        <v>41</v>
      </c>
      <c r="B47" s="10">
        <v>0</v>
      </c>
      <c r="C47" s="7">
        <v>0</v>
      </c>
      <c r="D47" s="7">
        <v>12619164.013838127</v>
      </c>
      <c r="E47" s="7">
        <v>0</v>
      </c>
      <c r="F47" s="17">
        <f t="shared" si="1"/>
        <v>12619164.013838127</v>
      </c>
      <c r="K47" s="10"/>
      <c r="L47" s="7"/>
      <c r="M47" s="7"/>
      <c r="N47" s="7"/>
      <c r="O47" s="7"/>
      <c r="P47" s="7"/>
      <c r="Q47" s="7"/>
      <c r="R47" s="7"/>
      <c r="S47" s="7"/>
      <c r="T47" s="7"/>
      <c r="U47" s="17"/>
    </row>
    <row r="48" spans="1:21">
      <c r="A48" t="s">
        <v>42</v>
      </c>
      <c r="B48" s="10">
        <v>0</v>
      </c>
      <c r="C48" s="7">
        <v>0</v>
      </c>
      <c r="D48" s="7">
        <v>33076999.595583092</v>
      </c>
      <c r="E48" s="7">
        <v>0</v>
      </c>
      <c r="F48" s="17">
        <f t="shared" si="1"/>
        <v>33076999.595583092</v>
      </c>
      <c r="K48" s="10"/>
      <c r="L48" s="7"/>
      <c r="M48" s="7"/>
      <c r="N48" s="7"/>
      <c r="O48" s="7"/>
      <c r="P48" s="7"/>
      <c r="Q48" s="7"/>
      <c r="R48" s="7"/>
      <c r="S48" s="7"/>
      <c r="T48" s="7"/>
      <c r="U48" s="17"/>
    </row>
    <row r="49" spans="1:21">
      <c r="A49" t="s">
        <v>43</v>
      </c>
      <c r="B49" s="10">
        <v>0</v>
      </c>
      <c r="C49" s="7">
        <v>0</v>
      </c>
      <c r="D49" s="7">
        <v>37152957.226057716</v>
      </c>
      <c r="E49" s="7">
        <v>0</v>
      </c>
      <c r="F49" s="17">
        <f t="shared" si="1"/>
        <v>37152957.226057716</v>
      </c>
      <c r="K49" s="10"/>
      <c r="L49" s="7"/>
      <c r="M49" s="7"/>
      <c r="N49" s="7"/>
      <c r="O49" s="7"/>
      <c r="P49" s="7"/>
      <c r="Q49" s="7"/>
      <c r="R49" s="7"/>
      <c r="S49" s="7"/>
      <c r="T49" s="7"/>
      <c r="U49" s="17"/>
    </row>
    <row r="50" spans="1:21">
      <c r="A50" t="s">
        <v>44</v>
      </c>
      <c r="B50" s="10">
        <v>0</v>
      </c>
      <c r="C50" s="7">
        <v>0</v>
      </c>
      <c r="D50" s="7">
        <v>108946892.91660592</v>
      </c>
      <c r="E50" s="7">
        <v>0</v>
      </c>
      <c r="F50" s="17">
        <f t="shared" si="1"/>
        <v>108946892.91660592</v>
      </c>
      <c r="K50" s="10"/>
      <c r="L50" s="7"/>
      <c r="M50" s="7"/>
      <c r="N50" s="7"/>
      <c r="O50" s="7"/>
      <c r="P50" s="7"/>
      <c r="Q50" s="7"/>
      <c r="R50" s="7"/>
      <c r="S50" s="7"/>
      <c r="T50" s="7"/>
      <c r="U50" s="17"/>
    </row>
    <row r="51" spans="1:21">
      <c r="A51" t="s">
        <v>45</v>
      </c>
      <c r="B51" s="10">
        <v>0</v>
      </c>
      <c r="C51" s="7">
        <v>0</v>
      </c>
      <c r="D51" s="7">
        <v>11223419.97129184</v>
      </c>
      <c r="E51" s="7">
        <v>0</v>
      </c>
      <c r="F51" s="17">
        <f t="shared" si="1"/>
        <v>11223419.97129184</v>
      </c>
      <c r="K51" s="10"/>
      <c r="L51" s="7"/>
      <c r="M51" s="7"/>
      <c r="N51" s="7"/>
      <c r="O51" s="7"/>
      <c r="P51" s="7"/>
      <c r="Q51" s="7"/>
      <c r="R51" s="7"/>
      <c r="S51" s="7"/>
      <c r="T51" s="7"/>
      <c r="U51" s="17"/>
    </row>
    <row r="52" spans="1:21">
      <c r="A52" t="s">
        <v>46</v>
      </c>
      <c r="B52" s="10">
        <v>0</v>
      </c>
      <c r="C52" s="7">
        <v>0</v>
      </c>
      <c r="D52" s="7">
        <v>8382978.1517511597</v>
      </c>
      <c r="E52" s="7">
        <v>0</v>
      </c>
      <c r="F52" s="17">
        <f t="shared" si="1"/>
        <v>8382978.1517511597</v>
      </c>
      <c r="K52" s="10"/>
      <c r="L52" s="7"/>
      <c r="M52" s="7"/>
      <c r="N52" s="7"/>
      <c r="O52" s="7"/>
      <c r="P52" s="7"/>
      <c r="Q52" s="7"/>
      <c r="R52" s="7"/>
      <c r="S52" s="7"/>
      <c r="T52" s="7"/>
      <c r="U52" s="17"/>
    </row>
    <row r="53" spans="1:21">
      <c r="A53" t="s">
        <v>47</v>
      </c>
      <c r="B53" s="10">
        <v>0</v>
      </c>
      <c r="C53" s="7">
        <v>0</v>
      </c>
      <c r="D53" s="7">
        <v>119216758.89268743</v>
      </c>
      <c r="E53" s="7">
        <v>0</v>
      </c>
      <c r="F53" s="17">
        <f t="shared" si="1"/>
        <v>119216758.89268743</v>
      </c>
      <c r="K53" s="10"/>
      <c r="L53" s="7"/>
      <c r="M53" s="7"/>
      <c r="N53" s="7"/>
      <c r="O53" s="7"/>
      <c r="P53" s="7"/>
      <c r="Q53" s="7"/>
      <c r="R53" s="7"/>
      <c r="S53" s="7"/>
      <c r="T53" s="7"/>
      <c r="U53" s="17"/>
    </row>
    <row r="54" spans="1:21">
      <c r="A54" t="s">
        <v>48</v>
      </c>
      <c r="B54" s="10">
        <v>0</v>
      </c>
      <c r="C54" s="7">
        <v>0</v>
      </c>
      <c r="D54" s="7">
        <v>98248084.782173276</v>
      </c>
      <c r="E54" s="7">
        <v>0</v>
      </c>
      <c r="F54" s="17">
        <f t="shared" si="1"/>
        <v>98248084.782173276</v>
      </c>
      <c r="K54" s="10"/>
      <c r="L54" s="7"/>
      <c r="M54" s="7"/>
      <c r="N54" s="7"/>
      <c r="O54" s="7"/>
      <c r="P54" s="7"/>
      <c r="Q54" s="7"/>
      <c r="R54" s="7"/>
      <c r="S54" s="7"/>
      <c r="T54" s="7"/>
      <c r="U54" s="17"/>
    </row>
    <row r="55" spans="1:21">
      <c r="A55" t="s">
        <v>49</v>
      </c>
      <c r="B55" s="10">
        <v>0</v>
      </c>
      <c r="C55" s="7">
        <v>0</v>
      </c>
      <c r="D55" s="7">
        <v>7305.8472223194922</v>
      </c>
      <c r="E55" s="7">
        <v>0</v>
      </c>
      <c r="F55" s="17">
        <f t="shared" si="1"/>
        <v>7305.8472223194922</v>
      </c>
      <c r="K55" s="10"/>
      <c r="L55" s="7"/>
      <c r="M55" s="7"/>
      <c r="N55" s="7"/>
      <c r="O55" s="7"/>
      <c r="P55" s="7"/>
      <c r="Q55" s="7"/>
      <c r="R55" s="7"/>
      <c r="S55" s="7"/>
      <c r="T55" s="7"/>
      <c r="U55" s="17"/>
    </row>
    <row r="56" spans="1:21">
      <c r="A56" t="s">
        <v>50</v>
      </c>
      <c r="B56" s="10">
        <v>0</v>
      </c>
      <c r="C56" s="7">
        <v>0</v>
      </c>
      <c r="D56" s="7">
        <v>13107629.234136716</v>
      </c>
      <c r="E56" s="7">
        <v>0</v>
      </c>
      <c r="F56" s="17">
        <f t="shared" si="1"/>
        <v>13107629.234136716</v>
      </c>
      <c r="K56" s="10"/>
      <c r="L56" s="7"/>
      <c r="M56" s="7"/>
      <c r="N56" s="7"/>
      <c r="O56" s="7"/>
      <c r="P56" s="7"/>
      <c r="Q56" s="7"/>
      <c r="R56" s="7"/>
      <c r="S56" s="7"/>
      <c r="T56" s="7"/>
      <c r="U56" s="17"/>
    </row>
    <row r="57" spans="1:21">
      <c r="A57" t="s">
        <v>51</v>
      </c>
      <c r="B57" s="10">
        <v>0</v>
      </c>
      <c r="C57" s="7">
        <v>0</v>
      </c>
      <c r="D57" s="7">
        <v>2744339.0532574095</v>
      </c>
      <c r="E57" s="7">
        <v>0</v>
      </c>
      <c r="F57" s="17">
        <f t="shared" si="1"/>
        <v>2744339.0532574095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2025428153.5829346</v>
      </c>
      <c r="E60" s="7">
        <f>SUM(E6:E58)</f>
        <v>0</v>
      </c>
      <c r="F60" s="17">
        <f>SUM(F6:F58)</f>
        <v>2025428153.5829346</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Italic"Penn Treaty Network America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448277.92668726225</v>
      </c>
      <c r="E6" s="7">
        <v>0</v>
      </c>
      <c r="F6" s="17">
        <f t="shared" ref="F6:F37" si="0">SUM(B6:E6)</f>
        <v>448277.92668726225</v>
      </c>
      <c r="K6" s="10"/>
      <c r="L6" s="7"/>
      <c r="M6" s="7"/>
      <c r="N6" s="7"/>
      <c r="O6" s="7"/>
      <c r="P6" s="7"/>
      <c r="Q6" s="7"/>
      <c r="R6" s="7"/>
      <c r="S6" s="7"/>
      <c r="T6" s="7"/>
      <c r="U6" s="17"/>
    </row>
    <row r="7" spans="1:21">
      <c r="A7" t="s">
        <v>1</v>
      </c>
      <c r="B7" s="10">
        <v>0</v>
      </c>
      <c r="C7" s="7">
        <v>0</v>
      </c>
      <c r="D7" s="7">
        <v>-2119.5600000000004</v>
      </c>
      <c r="E7" s="7">
        <v>0</v>
      </c>
      <c r="F7" s="17">
        <f t="shared" si="0"/>
        <v>-2119.5600000000004</v>
      </c>
      <c r="H7" s="22"/>
      <c r="I7" s="24"/>
      <c r="K7" s="10">
        <v>0</v>
      </c>
      <c r="L7" s="7">
        <v>0</v>
      </c>
      <c r="M7" s="7"/>
      <c r="N7" s="7">
        <v>0</v>
      </c>
      <c r="O7" s="7">
        <v>0</v>
      </c>
      <c r="P7" s="7"/>
      <c r="Q7" s="7">
        <v>20000</v>
      </c>
      <c r="R7" s="7">
        <v>0</v>
      </c>
      <c r="S7" s="7"/>
      <c r="T7" s="7">
        <v>0</v>
      </c>
      <c r="U7" s="17">
        <v>0</v>
      </c>
    </row>
    <row r="8" spans="1:21">
      <c r="A8" t="s">
        <v>2</v>
      </c>
      <c r="B8" s="10">
        <v>0</v>
      </c>
      <c r="C8" s="7">
        <v>0</v>
      </c>
      <c r="D8" s="7">
        <v>264074.76824589341</v>
      </c>
      <c r="E8" s="7">
        <v>0</v>
      </c>
      <c r="F8" s="17">
        <f t="shared" si="0"/>
        <v>264074.76824589341</v>
      </c>
      <c r="H8" s="4" t="s">
        <v>64</v>
      </c>
      <c r="I8" s="13"/>
      <c r="K8" s="10"/>
      <c r="L8" s="7"/>
      <c r="M8" s="7"/>
      <c r="N8" s="7"/>
      <c r="O8" s="7"/>
      <c r="P8" s="7"/>
      <c r="Q8" s="7"/>
      <c r="R8" s="7"/>
      <c r="S8" s="7"/>
      <c r="T8" s="7"/>
      <c r="U8" s="17"/>
    </row>
    <row r="9" spans="1:21">
      <c r="A9" t="s">
        <v>3</v>
      </c>
      <c r="B9" s="10">
        <v>0</v>
      </c>
      <c r="C9" s="7">
        <v>0</v>
      </c>
      <c r="D9" s="7">
        <v>39580.041374819761</v>
      </c>
      <c r="E9" s="7">
        <v>0</v>
      </c>
      <c r="F9" s="17">
        <f t="shared" si="0"/>
        <v>39580.041374819761</v>
      </c>
      <c r="H9" s="4"/>
      <c r="I9" s="13"/>
      <c r="K9" s="10">
        <v>0</v>
      </c>
      <c r="L9" s="7">
        <v>0</v>
      </c>
      <c r="M9" s="7"/>
      <c r="N9" s="7">
        <v>0</v>
      </c>
      <c r="O9" s="7">
        <v>0</v>
      </c>
      <c r="P9" s="7"/>
      <c r="Q9" s="7">
        <v>40793</v>
      </c>
      <c r="R9" s="7">
        <v>0</v>
      </c>
      <c r="S9" s="7"/>
      <c r="T9" s="7">
        <v>0</v>
      </c>
      <c r="U9" s="17">
        <v>0</v>
      </c>
    </row>
    <row r="10" spans="1:21">
      <c r="A10" t="s">
        <v>4</v>
      </c>
      <c r="B10" s="10">
        <v>0</v>
      </c>
      <c r="C10" s="7">
        <v>0</v>
      </c>
      <c r="D10" s="7">
        <v>1192128.350650386</v>
      </c>
      <c r="E10" s="7">
        <v>0</v>
      </c>
      <c r="F10" s="17">
        <f t="shared" si="0"/>
        <v>1192128.350650386</v>
      </c>
      <c r="H10" s="4" t="s">
        <v>65</v>
      </c>
      <c r="I10" s="14">
        <v>30141108.32</v>
      </c>
      <c r="K10" s="10">
        <v>0</v>
      </c>
      <c r="L10" s="7">
        <v>0</v>
      </c>
      <c r="M10" s="7"/>
      <c r="N10" s="7">
        <v>0</v>
      </c>
      <c r="O10" s="7">
        <v>0</v>
      </c>
      <c r="P10" s="7"/>
      <c r="Q10" s="7">
        <v>750000</v>
      </c>
      <c r="R10" s="7">
        <v>0</v>
      </c>
      <c r="S10" s="7"/>
      <c r="T10" s="7">
        <v>0</v>
      </c>
      <c r="U10" s="17">
        <v>0</v>
      </c>
    </row>
    <row r="11" spans="1:21">
      <c r="A11" t="s">
        <v>5</v>
      </c>
      <c r="B11" s="10">
        <v>0</v>
      </c>
      <c r="C11" s="7">
        <v>0</v>
      </c>
      <c r="D11" s="7">
        <v>154811.44992526644</v>
      </c>
      <c r="E11" s="7">
        <v>0</v>
      </c>
      <c r="F11" s="17">
        <f t="shared" si="0"/>
        <v>154811.44992526644</v>
      </c>
      <c r="H11" s="4"/>
      <c r="I11" s="14"/>
      <c r="K11" s="10">
        <v>151260</v>
      </c>
      <c r="L11" s="7">
        <v>0</v>
      </c>
      <c r="M11" s="7"/>
      <c r="N11" s="7">
        <v>0</v>
      </c>
      <c r="O11" s="7">
        <v>0</v>
      </c>
      <c r="P11" s="7"/>
      <c r="Q11" s="7">
        <v>0</v>
      </c>
      <c r="R11" s="7">
        <v>0</v>
      </c>
      <c r="S11" s="7"/>
      <c r="T11" s="7">
        <v>0</v>
      </c>
      <c r="U11" s="17">
        <v>0</v>
      </c>
    </row>
    <row r="12" spans="1:21">
      <c r="A12" t="s">
        <v>6</v>
      </c>
      <c r="B12" s="10">
        <v>0</v>
      </c>
      <c r="C12" s="7">
        <v>0</v>
      </c>
      <c r="D12" s="7">
        <v>68142.394331598422</v>
      </c>
      <c r="E12" s="7">
        <v>0</v>
      </c>
      <c r="F12" s="17">
        <f t="shared" si="0"/>
        <v>68142.394331598422</v>
      </c>
      <c r="H12" s="4" t="s">
        <v>66</v>
      </c>
      <c r="I12" s="14"/>
      <c r="K12" s="10"/>
      <c r="L12" s="7"/>
      <c r="M12" s="7"/>
      <c r="N12" s="7"/>
      <c r="O12" s="7"/>
      <c r="P12" s="7"/>
      <c r="Q12" s="7"/>
      <c r="R12" s="7"/>
      <c r="S12" s="7"/>
      <c r="T12" s="7"/>
      <c r="U12" s="17"/>
    </row>
    <row r="13" spans="1:21">
      <c r="A13" t="s">
        <v>7</v>
      </c>
      <c r="B13" s="10">
        <v>0</v>
      </c>
      <c r="C13" s="7">
        <v>0</v>
      </c>
      <c r="D13" s="7">
        <v>3540.6151204181951</v>
      </c>
      <c r="E13" s="7">
        <v>0</v>
      </c>
      <c r="F13" s="17">
        <f t="shared" si="0"/>
        <v>3540.6151204181951</v>
      </c>
      <c r="H13" s="4" t="s">
        <v>67</v>
      </c>
      <c r="I13" s="14">
        <v>28454285.32</v>
      </c>
      <c r="K13" s="10"/>
      <c r="L13" s="7"/>
      <c r="M13" s="7"/>
      <c r="N13" s="7"/>
      <c r="O13" s="7"/>
      <c r="P13" s="7"/>
      <c r="Q13" s="7"/>
      <c r="R13" s="7"/>
      <c r="S13" s="7"/>
      <c r="T13" s="7"/>
      <c r="U13" s="17"/>
    </row>
    <row r="14" spans="1:21">
      <c r="A14" t="s">
        <v>8</v>
      </c>
      <c r="B14" s="10">
        <v>0</v>
      </c>
      <c r="C14" s="7">
        <v>0</v>
      </c>
      <c r="D14" s="7">
        <v>16178.907132643893</v>
      </c>
      <c r="E14" s="7">
        <v>0</v>
      </c>
      <c r="F14" s="17">
        <f t="shared" si="0"/>
        <v>16178.907132643893</v>
      </c>
      <c r="H14" s="4" t="s">
        <v>68</v>
      </c>
      <c r="I14" s="14">
        <v>4563686.6100000003</v>
      </c>
      <c r="K14" s="10"/>
      <c r="L14" s="7"/>
      <c r="M14" s="7"/>
      <c r="N14" s="7"/>
      <c r="O14" s="7"/>
      <c r="P14" s="7"/>
      <c r="Q14" s="7"/>
      <c r="R14" s="7"/>
      <c r="S14" s="7"/>
      <c r="T14" s="7"/>
      <c r="U14" s="17"/>
    </row>
    <row r="15" spans="1:21">
      <c r="A15" t="s">
        <v>9</v>
      </c>
      <c r="B15" s="10">
        <v>0</v>
      </c>
      <c r="C15" s="7">
        <v>0</v>
      </c>
      <c r="D15" s="7">
        <v>3287783.3032391947</v>
      </c>
      <c r="E15" s="7">
        <v>0</v>
      </c>
      <c r="F15" s="17">
        <f t="shared" si="0"/>
        <v>3287783.3032391947</v>
      </c>
      <c r="H15" s="4" t="s">
        <v>69</v>
      </c>
      <c r="I15" s="14">
        <v>2828571.8849999998</v>
      </c>
      <c r="K15" s="10"/>
      <c r="L15" s="7"/>
      <c r="M15" s="7"/>
      <c r="N15" s="7"/>
      <c r="O15" s="7"/>
      <c r="P15" s="7"/>
      <c r="Q15" s="7"/>
      <c r="R15" s="7"/>
      <c r="S15" s="7"/>
      <c r="T15" s="7"/>
      <c r="U15" s="17"/>
    </row>
    <row r="16" spans="1:21">
      <c r="A16" t="s">
        <v>10</v>
      </c>
      <c r="B16" s="10">
        <v>0</v>
      </c>
      <c r="C16" s="7">
        <v>0</v>
      </c>
      <c r="D16" s="7">
        <v>1637399.1330369581</v>
      </c>
      <c r="E16" s="7">
        <v>0</v>
      </c>
      <c r="F16" s="17">
        <f t="shared" si="0"/>
        <v>1637399.1330369581</v>
      </c>
      <c r="H16" s="4" t="s">
        <v>70</v>
      </c>
      <c r="I16" s="14">
        <v>0</v>
      </c>
      <c r="K16" s="10"/>
      <c r="L16" s="7"/>
      <c r="M16" s="7"/>
      <c r="N16" s="7"/>
      <c r="O16" s="7"/>
      <c r="P16" s="7"/>
      <c r="Q16" s="7"/>
      <c r="R16" s="7"/>
      <c r="S16" s="7"/>
      <c r="T16" s="7"/>
      <c r="U16" s="17"/>
    </row>
    <row r="17" spans="1:21">
      <c r="A17" t="s">
        <v>11</v>
      </c>
      <c r="B17" s="10">
        <v>0</v>
      </c>
      <c r="C17" s="7">
        <v>0</v>
      </c>
      <c r="D17" s="7">
        <v>1261.8399999999965</v>
      </c>
      <c r="E17" s="7">
        <v>0</v>
      </c>
      <c r="F17" s="17">
        <f t="shared" si="0"/>
        <v>1261.8399999999965</v>
      </c>
      <c r="H17" s="4"/>
      <c r="I17" s="14"/>
      <c r="K17" s="10"/>
      <c r="L17" s="7"/>
      <c r="M17" s="7"/>
      <c r="N17" s="7"/>
      <c r="O17" s="7"/>
      <c r="P17" s="7"/>
      <c r="Q17" s="7"/>
      <c r="R17" s="7"/>
      <c r="S17" s="7"/>
      <c r="T17" s="7"/>
      <c r="U17" s="17"/>
    </row>
    <row r="18" spans="1:21">
      <c r="A18" t="s">
        <v>12</v>
      </c>
      <c r="B18" s="10">
        <v>0</v>
      </c>
      <c r="C18" s="7">
        <v>0</v>
      </c>
      <c r="D18" s="7">
        <v>16441.652086096496</v>
      </c>
      <c r="E18" s="7">
        <v>0</v>
      </c>
      <c r="F18" s="17">
        <f t="shared" si="0"/>
        <v>16441.652086096496</v>
      </c>
      <c r="H18" s="4" t="s">
        <v>71</v>
      </c>
      <c r="I18" s="14"/>
      <c r="K18" s="10">
        <v>0</v>
      </c>
      <c r="L18" s="7">
        <v>0</v>
      </c>
      <c r="M18" s="7"/>
      <c r="N18" s="7">
        <v>0</v>
      </c>
      <c r="O18" s="7">
        <v>0</v>
      </c>
      <c r="P18" s="7"/>
      <c r="Q18" s="7">
        <v>50000</v>
      </c>
      <c r="R18" s="7">
        <v>0</v>
      </c>
      <c r="S18" s="7"/>
      <c r="T18" s="7">
        <v>0</v>
      </c>
      <c r="U18" s="17">
        <v>0</v>
      </c>
    </row>
    <row r="19" spans="1:21">
      <c r="A19" t="s">
        <v>13</v>
      </c>
      <c r="B19" s="10">
        <v>0</v>
      </c>
      <c r="C19" s="7">
        <v>0</v>
      </c>
      <c r="D19" s="7">
        <v>268161.30425924284</v>
      </c>
      <c r="E19" s="7">
        <v>0</v>
      </c>
      <c r="F19" s="17">
        <f t="shared" si="0"/>
        <v>268161.30425924284</v>
      </c>
      <c r="H19" s="4" t="s">
        <v>72</v>
      </c>
      <c r="I19" s="14">
        <v>0</v>
      </c>
      <c r="K19" s="10">
        <v>0</v>
      </c>
      <c r="L19" s="7">
        <v>0</v>
      </c>
      <c r="M19" s="7"/>
      <c r="N19" s="7">
        <v>0</v>
      </c>
      <c r="O19" s="7">
        <v>0</v>
      </c>
      <c r="P19" s="7"/>
      <c r="Q19" s="7">
        <v>370000</v>
      </c>
      <c r="R19" s="7">
        <v>0</v>
      </c>
      <c r="S19" s="7"/>
      <c r="T19" s="7">
        <v>0</v>
      </c>
      <c r="U19" s="17">
        <v>0</v>
      </c>
    </row>
    <row r="20" spans="1:21">
      <c r="A20" t="s">
        <v>14</v>
      </c>
      <c r="B20" s="10">
        <v>0</v>
      </c>
      <c r="C20" s="7">
        <v>0</v>
      </c>
      <c r="D20" s="7">
        <v>165664.41193317273</v>
      </c>
      <c r="E20" s="7">
        <v>0</v>
      </c>
      <c r="F20" s="17">
        <f t="shared" si="0"/>
        <v>165664.41193317273</v>
      </c>
      <c r="H20" s="4" t="s">
        <v>73</v>
      </c>
      <c r="I20" s="14">
        <v>28454285.32</v>
      </c>
      <c r="K20" s="10"/>
      <c r="L20" s="7"/>
      <c r="M20" s="7"/>
      <c r="N20" s="7"/>
      <c r="O20" s="7"/>
      <c r="P20" s="7"/>
      <c r="Q20" s="7"/>
      <c r="R20" s="7"/>
      <c r="S20" s="7"/>
      <c r="T20" s="7"/>
      <c r="U20" s="17"/>
    </row>
    <row r="21" spans="1:21">
      <c r="A21" t="s">
        <v>15</v>
      </c>
      <c r="B21" s="10">
        <v>0</v>
      </c>
      <c r="C21" s="7">
        <v>0</v>
      </c>
      <c r="D21" s="7">
        <v>5639.0158351514765</v>
      </c>
      <c r="E21" s="7">
        <v>0</v>
      </c>
      <c r="F21" s="17">
        <f t="shared" si="0"/>
        <v>5639.0158351514765</v>
      </c>
      <c r="H21" s="4" t="s">
        <v>74</v>
      </c>
      <c r="I21" s="14"/>
      <c r="K21" s="10"/>
      <c r="L21" s="7"/>
      <c r="M21" s="7"/>
      <c r="N21" s="7"/>
      <c r="O21" s="7"/>
      <c r="P21" s="7"/>
      <c r="Q21" s="7"/>
      <c r="R21" s="7"/>
      <c r="S21" s="7"/>
      <c r="T21" s="7"/>
      <c r="U21" s="17"/>
    </row>
    <row r="22" spans="1:21">
      <c r="A22" t="s">
        <v>16</v>
      </c>
      <c r="B22" s="10">
        <v>0</v>
      </c>
      <c r="C22" s="7">
        <v>0</v>
      </c>
      <c r="D22" s="7">
        <v>128379.02559712454</v>
      </c>
      <c r="E22" s="7">
        <v>0</v>
      </c>
      <c r="F22" s="17">
        <f t="shared" si="0"/>
        <v>128379.02559712454</v>
      </c>
      <c r="H22" s="4" t="s">
        <v>75</v>
      </c>
      <c r="I22" s="14">
        <v>0</v>
      </c>
      <c r="K22" s="10"/>
      <c r="L22" s="7"/>
      <c r="M22" s="7"/>
      <c r="N22" s="7"/>
      <c r="O22" s="7"/>
      <c r="P22" s="7"/>
      <c r="Q22" s="7"/>
      <c r="R22" s="7"/>
      <c r="S22" s="7"/>
      <c r="T22" s="7"/>
      <c r="U22" s="17"/>
    </row>
    <row r="23" spans="1:21">
      <c r="A23" t="s">
        <v>17</v>
      </c>
      <c r="B23" s="10">
        <v>0</v>
      </c>
      <c r="C23" s="7">
        <v>0</v>
      </c>
      <c r="D23" s="7">
        <v>52182.169999999984</v>
      </c>
      <c r="E23" s="7">
        <v>0</v>
      </c>
      <c r="F23" s="17">
        <f t="shared" si="0"/>
        <v>52182.169999999984</v>
      </c>
      <c r="H23" s="4" t="s">
        <v>76</v>
      </c>
      <c r="I23" s="14"/>
      <c r="K23" s="10"/>
      <c r="L23" s="7"/>
      <c r="M23" s="7"/>
      <c r="N23" s="7"/>
      <c r="O23" s="7"/>
      <c r="P23" s="7"/>
      <c r="Q23" s="7"/>
      <c r="R23" s="7"/>
      <c r="S23" s="7"/>
      <c r="T23" s="7"/>
      <c r="U23" s="17"/>
    </row>
    <row r="24" spans="1:21">
      <c r="A24" t="s">
        <v>18</v>
      </c>
      <c r="B24" s="10">
        <v>0</v>
      </c>
      <c r="C24" s="7">
        <v>0</v>
      </c>
      <c r="D24" s="7">
        <v>329802.49912284152</v>
      </c>
      <c r="E24" s="7">
        <v>0</v>
      </c>
      <c r="F24" s="17">
        <f t="shared" si="0"/>
        <v>329802.49912284152</v>
      </c>
      <c r="H24" s="4" t="s">
        <v>77</v>
      </c>
      <c r="I24" s="14">
        <v>23631848</v>
      </c>
      <c r="K24" s="10">
        <v>0</v>
      </c>
      <c r="L24" s="7">
        <v>0</v>
      </c>
      <c r="M24" s="7"/>
      <c r="N24" s="7">
        <v>0</v>
      </c>
      <c r="O24" s="7">
        <v>0</v>
      </c>
      <c r="P24" s="7"/>
      <c r="Q24" s="7">
        <v>180000</v>
      </c>
      <c r="R24" s="7">
        <v>0</v>
      </c>
      <c r="S24" s="7"/>
      <c r="T24" s="7">
        <v>0</v>
      </c>
      <c r="U24" s="17">
        <v>0</v>
      </c>
    </row>
    <row r="25" spans="1:21">
      <c r="A25" t="s">
        <v>19</v>
      </c>
      <c r="B25" s="10">
        <v>0</v>
      </c>
      <c r="C25" s="7">
        <v>0</v>
      </c>
      <c r="D25" s="7">
        <v>-618.09860530916376</v>
      </c>
      <c r="E25" s="7">
        <v>0</v>
      </c>
      <c r="F25" s="17">
        <f t="shared" si="0"/>
        <v>-618.09860530916376</v>
      </c>
      <c r="H25" s="4"/>
      <c r="I25" s="14"/>
      <c r="K25" s="10"/>
      <c r="L25" s="7"/>
      <c r="M25" s="7"/>
      <c r="N25" s="7"/>
      <c r="O25" s="7"/>
      <c r="P25" s="7"/>
      <c r="Q25" s="7"/>
      <c r="R25" s="7"/>
      <c r="S25" s="7"/>
      <c r="T25" s="7"/>
      <c r="U25" s="17"/>
    </row>
    <row r="26" spans="1:21">
      <c r="A26" t="s">
        <v>20</v>
      </c>
      <c r="B26" s="10">
        <v>0</v>
      </c>
      <c r="C26" s="7">
        <v>0</v>
      </c>
      <c r="D26" s="7">
        <v>94142.097899435612</v>
      </c>
      <c r="E26" s="7">
        <v>0</v>
      </c>
      <c r="F26" s="17">
        <f t="shared" si="0"/>
        <v>94142.097899435612</v>
      </c>
      <c r="H26" s="4" t="s">
        <v>78</v>
      </c>
      <c r="I26" s="14">
        <f>SUM(I10:I16)-SUM(I19:I24)</f>
        <v>13901518.814999998</v>
      </c>
      <c r="K26" s="10"/>
      <c r="L26" s="7"/>
      <c r="M26" s="7"/>
      <c r="N26" s="7"/>
      <c r="O26" s="7"/>
      <c r="P26" s="7"/>
      <c r="Q26" s="7"/>
      <c r="R26" s="7"/>
      <c r="S26" s="7"/>
      <c r="T26" s="7"/>
      <c r="U26" s="17"/>
    </row>
    <row r="27" spans="1:21">
      <c r="A27" t="s">
        <v>21</v>
      </c>
      <c r="B27" s="10">
        <v>0</v>
      </c>
      <c r="C27" s="7">
        <v>0</v>
      </c>
      <c r="D27" s="7">
        <v>92418.532252630685</v>
      </c>
      <c r="E27" s="7">
        <v>0</v>
      </c>
      <c r="F27" s="17">
        <f t="shared" si="0"/>
        <v>92418.532252630685</v>
      </c>
      <c r="H27" s="4" t="s">
        <v>79</v>
      </c>
      <c r="I27" s="14">
        <f>+F60</f>
        <v>13901518.814999999</v>
      </c>
      <c r="K27" s="10"/>
      <c r="L27" s="7"/>
      <c r="M27" s="7"/>
      <c r="N27" s="7"/>
      <c r="O27" s="7"/>
      <c r="P27" s="7"/>
      <c r="Q27" s="7"/>
      <c r="R27" s="7"/>
      <c r="S27" s="7"/>
      <c r="T27" s="7"/>
      <c r="U27" s="17"/>
    </row>
    <row r="28" spans="1:21">
      <c r="A28" t="s">
        <v>22</v>
      </c>
      <c r="B28" s="10">
        <v>0</v>
      </c>
      <c r="C28" s="7">
        <v>0</v>
      </c>
      <c r="D28" s="7">
        <v>348130.27261248871</v>
      </c>
      <c r="E28" s="7">
        <v>0</v>
      </c>
      <c r="F28" s="17">
        <f t="shared" si="0"/>
        <v>348130.27261248871</v>
      </c>
      <c r="H28" s="23"/>
      <c r="I28" s="25"/>
      <c r="K28" s="10"/>
      <c r="L28" s="7"/>
      <c r="M28" s="7"/>
      <c r="N28" s="7"/>
      <c r="O28" s="7"/>
      <c r="P28" s="7"/>
      <c r="Q28" s="7"/>
      <c r="R28" s="7"/>
      <c r="S28" s="7"/>
      <c r="T28" s="7"/>
      <c r="U28" s="17"/>
    </row>
    <row r="29" spans="1:21">
      <c r="A29" t="s">
        <v>23</v>
      </c>
      <c r="B29" s="10">
        <v>0</v>
      </c>
      <c r="C29" s="7">
        <v>0</v>
      </c>
      <c r="D29" s="7">
        <v>119775.90132708603</v>
      </c>
      <c r="E29" s="7">
        <v>0</v>
      </c>
      <c r="F29" s="17">
        <f t="shared" si="0"/>
        <v>119775.90132708603</v>
      </c>
      <c r="K29" s="10"/>
      <c r="L29" s="7"/>
      <c r="M29" s="7"/>
      <c r="N29" s="7"/>
      <c r="O29" s="7"/>
      <c r="P29" s="7"/>
      <c r="Q29" s="7"/>
      <c r="R29" s="7"/>
      <c r="S29" s="7"/>
      <c r="T29" s="7"/>
      <c r="U29" s="17"/>
    </row>
    <row r="30" spans="1:21">
      <c r="A30" t="s">
        <v>24</v>
      </c>
      <c r="B30" s="10">
        <v>0</v>
      </c>
      <c r="C30" s="7">
        <v>0</v>
      </c>
      <c r="D30" s="7">
        <v>54101.236273841263</v>
      </c>
      <c r="E30" s="7">
        <v>0</v>
      </c>
      <c r="F30" s="17">
        <f t="shared" si="0"/>
        <v>54101.236273841263</v>
      </c>
      <c r="K30" s="10"/>
      <c r="L30" s="7"/>
      <c r="M30" s="7"/>
      <c r="N30" s="7"/>
      <c r="O30" s="7"/>
      <c r="P30" s="7"/>
      <c r="Q30" s="7"/>
      <c r="R30" s="7"/>
      <c r="S30" s="7"/>
      <c r="T30" s="7"/>
      <c r="U30" s="17"/>
    </row>
    <row r="31" spans="1:21">
      <c r="A31" t="s">
        <v>25</v>
      </c>
      <c r="B31" s="10">
        <v>0</v>
      </c>
      <c r="C31" s="7">
        <v>0</v>
      </c>
      <c r="D31" s="7">
        <v>64368.478052359336</v>
      </c>
      <c r="E31" s="7">
        <v>0</v>
      </c>
      <c r="F31" s="17">
        <f t="shared" si="0"/>
        <v>64368.478052359336</v>
      </c>
      <c r="K31" s="10"/>
      <c r="L31" s="7"/>
      <c r="M31" s="7"/>
      <c r="N31" s="7"/>
      <c r="O31" s="7"/>
      <c r="P31" s="7"/>
      <c r="Q31" s="7"/>
      <c r="R31" s="7"/>
      <c r="S31" s="7"/>
      <c r="T31" s="7"/>
      <c r="U31" s="17"/>
    </row>
    <row r="32" spans="1:21">
      <c r="A32" t="s">
        <v>26</v>
      </c>
      <c r="B32" s="10">
        <v>0</v>
      </c>
      <c r="C32" s="7">
        <v>0</v>
      </c>
      <c r="D32" s="7">
        <v>7770.0674009115355</v>
      </c>
      <c r="E32" s="7">
        <v>0</v>
      </c>
      <c r="F32" s="17">
        <f t="shared" si="0"/>
        <v>7770.0674009115355</v>
      </c>
      <c r="K32" s="10"/>
      <c r="L32" s="7"/>
      <c r="M32" s="7"/>
      <c r="N32" s="7"/>
      <c r="O32" s="7"/>
      <c r="P32" s="7"/>
      <c r="Q32" s="7"/>
      <c r="R32" s="7"/>
      <c r="S32" s="7"/>
      <c r="T32" s="7"/>
      <c r="U32" s="17"/>
    </row>
    <row r="33" spans="1:21">
      <c r="A33" t="s">
        <v>27</v>
      </c>
      <c r="B33" s="10">
        <v>0</v>
      </c>
      <c r="C33" s="7">
        <v>0</v>
      </c>
      <c r="D33" s="7">
        <v>8530.4459245740254</v>
      </c>
      <c r="E33" s="7">
        <v>0</v>
      </c>
      <c r="F33" s="17">
        <f t="shared" si="0"/>
        <v>8530.4459245740254</v>
      </c>
      <c r="K33" s="10"/>
      <c r="L33" s="7"/>
      <c r="M33" s="7"/>
      <c r="N33" s="7"/>
      <c r="O33" s="7"/>
      <c r="P33" s="7"/>
      <c r="Q33" s="7"/>
      <c r="R33" s="7"/>
      <c r="S33" s="7"/>
      <c r="T33" s="7"/>
      <c r="U33" s="17"/>
    </row>
    <row r="34" spans="1:21">
      <c r="A34" t="s">
        <v>28</v>
      </c>
      <c r="B34" s="10">
        <v>0</v>
      </c>
      <c r="C34" s="7">
        <v>0</v>
      </c>
      <c r="D34" s="7">
        <v>74659.670636111754</v>
      </c>
      <c r="E34" s="7">
        <v>0</v>
      </c>
      <c r="F34" s="17">
        <f t="shared" si="0"/>
        <v>74659.670636111754</v>
      </c>
      <c r="K34" s="10"/>
      <c r="L34" s="7"/>
      <c r="M34" s="7"/>
      <c r="N34" s="7"/>
      <c r="O34" s="7"/>
      <c r="P34" s="7"/>
      <c r="Q34" s="7"/>
      <c r="R34" s="7"/>
      <c r="S34" s="7"/>
      <c r="T34" s="7"/>
      <c r="U34" s="17"/>
    </row>
    <row r="35" spans="1:21">
      <c r="A35" t="s">
        <v>29</v>
      </c>
      <c r="B35" s="10">
        <v>0</v>
      </c>
      <c r="C35" s="7">
        <v>0</v>
      </c>
      <c r="D35" s="7">
        <v>49919.880000000005</v>
      </c>
      <c r="E35" s="7">
        <v>0</v>
      </c>
      <c r="F35" s="17">
        <f t="shared" si="0"/>
        <v>49919.880000000005</v>
      </c>
      <c r="K35" s="10"/>
      <c r="L35" s="7"/>
      <c r="M35" s="7"/>
      <c r="N35" s="7"/>
      <c r="O35" s="7"/>
      <c r="P35" s="7"/>
      <c r="Q35" s="7"/>
      <c r="R35" s="7"/>
      <c r="S35" s="7"/>
      <c r="T35" s="7"/>
      <c r="U35" s="17"/>
    </row>
    <row r="36" spans="1:21">
      <c r="A36" t="s">
        <v>30</v>
      </c>
      <c r="B36" s="10">
        <v>0</v>
      </c>
      <c r="C36" s="7">
        <v>0</v>
      </c>
      <c r="D36" s="7">
        <v>18016.585458237299</v>
      </c>
      <c r="E36" s="7">
        <v>0</v>
      </c>
      <c r="F36" s="17">
        <f t="shared" si="0"/>
        <v>18016.585458237299</v>
      </c>
      <c r="K36" s="10"/>
      <c r="L36" s="7"/>
      <c r="M36" s="7"/>
      <c r="N36" s="7"/>
      <c r="O36" s="7"/>
      <c r="P36" s="7"/>
      <c r="Q36" s="7"/>
      <c r="R36" s="7"/>
      <c r="S36" s="7"/>
      <c r="T36" s="7"/>
      <c r="U36" s="17"/>
    </row>
    <row r="37" spans="1:21">
      <c r="A37" t="s">
        <v>31</v>
      </c>
      <c r="B37" s="10">
        <v>0</v>
      </c>
      <c r="C37" s="7">
        <v>0</v>
      </c>
      <c r="D37" s="7">
        <v>48985.84003024071</v>
      </c>
      <c r="E37" s="7">
        <v>0</v>
      </c>
      <c r="F37" s="17">
        <f t="shared" si="0"/>
        <v>48985.84003024071</v>
      </c>
      <c r="K37" s="10">
        <v>0</v>
      </c>
      <c r="L37" s="7">
        <v>0</v>
      </c>
      <c r="M37" s="7"/>
      <c r="N37" s="7">
        <v>0</v>
      </c>
      <c r="O37" s="7">
        <v>0</v>
      </c>
      <c r="P37" s="7"/>
      <c r="Q37" s="7">
        <v>99809</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468409.15229585068</v>
      </c>
      <c r="E39" s="7">
        <v>0</v>
      </c>
      <c r="F39" s="17">
        <f t="shared" si="1"/>
        <v>468409.15229585068</v>
      </c>
      <c r="K39" s="10">
        <v>0</v>
      </c>
      <c r="L39" s="7">
        <v>0</v>
      </c>
      <c r="M39" s="7"/>
      <c r="N39" s="7">
        <v>0</v>
      </c>
      <c r="O39" s="7">
        <v>0</v>
      </c>
      <c r="P39" s="7"/>
      <c r="Q39" s="7">
        <v>1200000</v>
      </c>
      <c r="R39" s="7">
        <v>0</v>
      </c>
      <c r="S39" s="7"/>
      <c r="T39" s="7">
        <v>0</v>
      </c>
      <c r="U39" s="17">
        <v>0</v>
      </c>
    </row>
    <row r="40" spans="1:21">
      <c r="A40" t="s">
        <v>34</v>
      </c>
      <c r="B40" s="10">
        <v>0</v>
      </c>
      <c r="C40" s="7">
        <v>0</v>
      </c>
      <c r="D40" s="7">
        <v>783.60000000000036</v>
      </c>
      <c r="E40" s="7">
        <v>0</v>
      </c>
      <c r="F40" s="17">
        <f t="shared" si="1"/>
        <v>783.60000000000036</v>
      </c>
      <c r="K40" s="10"/>
      <c r="L40" s="7"/>
      <c r="M40" s="7"/>
      <c r="N40" s="7"/>
      <c r="O40" s="7"/>
      <c r="P40" s="7"/>
      <c r="Q40" s="7"/>
      <c r="R40" s="7"/>
      <c r="S40" s="7"/>
      <c r="T40" s="7"/>
      <c r="U40" s="17"/>
    </row>
    <row r="41" spans="1:21">
      <c r="A41" t="s">
        <v>35</v>
      </c>
      <c r="B41" s="10">
        <v>0</v>
      </c>
      <c r="C41" s="7">
        <v>0</v>
      </c>
      <c r="D41" s="7">
        <v>711420.98746420792</v>
      </c>
      <c r="E41" s="7">
        <v>0</v>
      </c>
      <c r="F41" s="17">
        <f t="shared" si="1"/>
        <v>711420.98746420792</v>
      </c>
      <c r="K41" s="10"/>
      <c r="L41" s="7"/>
      <c r="M41" s="7"/>
      <c r="N41" s="7"/>
      <c r="O41" s="7"/>
      <c r="P41" s="7"/>
      <c r="Q41" s="7"/>
      <c r="R41" s="7"/>
      <c r="S41" s="7"/>
      <c r="T41" s="7"/>
      <c r="U41" s="17"/>
    </row>
    <row r="42" spans="1:21">
      <c r="A42" t="s">
        <v>36</v>
      </c>
      <c r="B42" s="10">
        <v>0</v>
      </c>
      <c r="C42" s="7">
        <v>0</v>
      </c>
      <c r="D42" s="7">
        <v>237833.82809340116</v>
      </c>
      <c r="E42" s="7">
        <v>0</v>
      </c>
      <c r="F42" s="17">
        <f t="shared" si="1"/>
        <v>237833.82809340116</v>
      </c>
      <c r="K42" s="10">
        <v>0</v>
      </c>
      <c r="L42" s="7">
        <v>0</v>
      </c>
      <c r="M42" s="7"/>
      <c r="N42" s="7">
        <v>0</v>
      </c>
      <c r="O42" s="7">
        <v>0</v>
      </c>
      <c r="P42" s="7"/>
      <c r="Q42" s="7">
        <v>200000</v>
      </c>
      <c r="R42" s="7">
        <v>0</v>
      </c>
      <c r="S42" s="7"/>
      <c r="T42" s="7">
        <v>0</v>
      </c>
      <c r="U42" s="17">
        <v>0</v>
      </c>
    </row>
    <row r="43" spans="1:21">
      <c r="A43" t="s">
        <v>37</v>
      </c>
      <c r="B43" s="10">
        <v>0</v>
      </c>
      <c r="C43" s="7">
        <v>0</v>
      </c>
      <c r="D43" s="7">
        <v>41621.608825843068</v>
      </c>
      <c r="E43" s="7">
        <v>0</v>
      </c>
      <c r="F43" s="17">
        <f t="shared" si="1"/>
        <v>41621.608825843068</v>
      </c>
      <c r="K43" s="10"/>
      <c r="L43" s="7"/>
      <c r="M43" s="7"/>
      <c r="N43" s="7"/>
      <c r="O43" s="7"/>
      <c r="P43" s="7"/>
      <c r="Q43" s="7"/>
      <c r="R43" s="7"/>
      <c r="S43" s="7"/>
      <c r="T43" s="7"/>
      <c r="U43" s="17"/>
    </row>
    <row r="44" spans="1:21">
      <c r="A44" t="s">
        <v>38</v>
      </c>
      <c r="B44" s="10">
        <v>0</v>
      </c>
      <c r="C44" s="7">
        <v>0</v>
      </c>
      <c r="D44" s="7">
        <v>161869.98020973825</v>
      </c>
      <c r="E44" s="7">
        <v>0</v>
      </c>
      <c r="F44" s="17">
        <f t="shared" si="1"/>
        <v>161869.98020973825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162666.3741750078</v>
      </c>
      <c r="E46" s="7">
        <v>0</v>
      </c>
      <c r="F46" s="17">
        <f t="shared" si="1"/>
        <v>162666.3741750078</v>
      </c>
      <c r="K46" s="10">
        <v>0</v>
      </c>
      <c r="L46" s="7">
        <v>0</v>
      </c>
      <c r="M46" s="7"/>
      <c r="N46" s="7">
        <v>0</v>
      </c>
      <c r="O46" s="7">
        <v>0</v>
      </c>
      <c r="P46" s="7"/>
      <c r="Q46" s="7">
        <v>410000</v>
      </c>
      <c r="R46" s="7">
        <v>0</v>
      </c>
      <c r="S46" s="7"/>
      <c r="T46" s="7">
        <v>0</v>
      </c>
      <c r="U46" s="17">
        <v>0</v>
      </c>
    </row>
    <row r="47" spans="1:21">
      <c r="A47" t="s">
        <v>41</v>
      </c>
      <c r="B47" s="10">
        <v>0</v>
      </c>
      <c r="C47" s="7">
        <v>0</v>
      </c>
      <c r="D47" s="7">
        <v>843465.65919089923</v>
      </c>
      <c r="E47" s="7">
        <v>0</v>
      </c>
      <c r="F47" s="17">
        <f t="shared" si="1"/>
        <v>843465.65919089923</v>
      </c>
      <c r="K47" s="10">
        <v>0</v>
      </c>
      <c r="L47" s="7">
        <v>0</v>
      </c>
      <c r="M47" s="7"/>
      <c r="N47" s="7">
        <v>0</v>
      </c>
      <c r="O47" s="7">
        <v>0</v>
      </c>
      <c r="P47" s="7"/>
      <c r="Q47" s="7">
        <v>900000</v>
      </c>
      <c r="R47" s="7">
        <v>0</v>
      </c>
      <c r="S47" s="7"/>
      <c r="T47" s="7">
        <v>0</v>
      </c>
      <c r="U47" s="17">
        <v>0</v>
      </c>
    </row>
    <row r="48" spans="1:21">
      <c r="A48" t="s">
        <v>42</v>
      </c>
      <c r="B48" s="10">
        <v>0</v>
      </c>
      <c r="C48" s="7">
        <v>0</v>
      </c>
      <c r="D48" s="7">
        <v>10814.196849255899</v>
      </c>
      <c r="E48" s="7">
        <v>0</v>
      </c>
      <c r="F48" s="17">
        <f t="shared" si="1"/>
        <v>10814.196849255899</v>
      </c>
      <c r="K48" s="10"/>
      <c r="L48" s="7"/>
      <c r="M48" s="7"/>
      <c r="N48" s="7"/>
      <c r="O48" s="7"/>
      <c r="P48" s="7"/>
      <c r="Q48" s="7"/>
      <c r="R48" s="7"/>
      <c r="S48" s="7"/>
      <c r="T48" s="7"/>
      <c r="U48" s="17"/>
    </row>
    <row r="49" spans="1:21">
      <c r="A49" t="s">
        <v>43</v>
      </c>
      <c r="B49" s="10">
        <v>0</v>
      </c>
      <c r="C49" s="7">
        <v>0</v>
      </c>
      <c r="D49" s="7">
        <v>233566.99641942588</v>
      </c>
      <c r="E49" s="7">
        <v>0</v>
      </c>
      <c r="F49" s="17">
        <f t="shared" si="1"/>
        <v>233566.99641942588</v>
      </c>
      <c r="K49" s="10">
        <v>0</v>
      </c>
      <c r="L49" s="7">
        <v>0</v>
      </c>
      <c r="M49" s="7"/>
      <c r="N49" s="7">
        <v>0</v>
      </c>
      <c r="O49" s="7">
        <v>0</v>
      </c>
      <c r="P49" s="7"/>
      <c r="Q49" s="7">
        <v>250000</v>
      </c>
      <c r="R49" s="7">
        <v>0</v>
      </c>
      <c r="S49" s="7"/>
      <c r="T49" s="7">
        <v>0</v>
      </c>
      <c r="U49" s="17">
        <v>0</v>
      </c>
    </row>
    <row r="50" spans="1:21">
      <c r="A50" t="s">
        <v>44</v>
      </c>
      <c r="B50" s="10">
        <v>0</v>
      </c>
      <c r="C50" s="7">
        <v>0</v>
      </c>
      <c r="D50" s="7">
        <v>1328278.1949731293</v>
      </c>
      <c r="E50" s="7">
        <v>0</v>
      </c>
      <c r="F50" s="17">
        <f t="shared" si="1"/>
        <v>1328278.1949731293</v>
      </c>
      <c r="K50" s="10">
        <v>0</v>
      </c>
      <c r="L50" s="7">
        <v>0</v>
      </c>
      <c r="M50" s="7"/>
      <c r="N50" s="7">
        <v>0</v>
      </c>
      <c r="O50" s="7">
        <v>0</v>
      </c>
      <c r="P50" s="7"/>
      <c r="Q50" s="7">
        <v>2000085</v>
      </c>
      <c r="R50" s="7">
        <v>0</v>
      </c>
      <c r="S50" s="7"/>
      <c r="T50" s="7">
        <v>0</v>
      </c>
      <c r="U50" s="17">
        <v>0</v>
      </c>
    </row>
    <row r="51" spans="1:21">
      <c r="A51" t="s">
        <v>45</v>
      </c>
      <c r="B51" s="10">
        <v>0</v>
      </c>
      <c r="C51" s="7">
        <v>0</v>
      </c>
      <c r="D51" s="7">
        <v>12673.980539776123</v>
      </c>
      <c r="E51" s="7">
        <v>0</v>
      </c>
      <c r="F51" s="17">
        <f t="shared" si="1"/>
        <v>12673.980539776123</v>
      </c>
      <c r="K51" s="10"/>
      <c r="L51" s="7"/>
      <c r="M51" s="7"/>
      <c r="N51" s="7"/>
      <c r="O51" s="7"/>
      <c r="P51" s="7"/>
      <c r="Q51" s="7"/>
      <c r="R51" s="7"/>
      <c r="S51" s="7"/>
      <c r="T51" s="7"/>
      <c r="U51" s="17"/>
    </row>
    <row r="52" spans="1:21">
      <c r="A52" t="s">
        <v>46</v>
      </c>
      <c r="B52" s="10">
        <v>0</v>
      </c>
      <c r="C52" s="7">
        <v>0</v>
      </c>
      <c r="D52" s="7">
        <v>24926.361705078685</v>
      </c>
      <c r="E52" s="7">
        <v>0</v>
      </c>
      <c r="F52" s="17">
        <f t="shared" si="1"/>
        <v>24926.361705078685</v>
      </c>
      <c r="K52" s="10"/>
      <c r="L52" s="7"/>
      <c r="M52" s="7"/>
      <c r="N52" s="7"/>
      <c r="O52" s="7"/>
      <c r="P52" s="7"/>
      <c r="Q52" s="7"/>
      <c r="R52" s="7"/>
      <c r="S52" s="7"/>
      <c r="T52" s="7"/>
      <c r="U52" s="17"/>
    </row>
    <row r="53" spans="1:21">
      <c r="A53" t="s">
        <v>47</v>
      </c>
      <c r="B53" s="10">
        <v>0</v>
      </c>
      <c r="C53" s="7">
        <v>0</v>
      </c>
      <c r="D53" s="7">
        <v>-6448.6579193013022</v>
      </c>
      <c r="E53" s="7">
        <v>0</v>
      </c>
      <c r="F53" s="17">
        <f t="shared" si="1"/>
        <v>-6448.6579193013022</v>
      </c>
      <c r="K53" s="10"/>
      <c r="L53" s="7"/>
      <c r="M53" s="7"/>
      <c r="N53" s="7"/>
      <c r="O53" s="7"/>
      <c r="P53" s="7"/>
      <c r="Q53" s="7"/>
      <c r="R53" s="7"/>
      <c r="S53" s="7"/>
      <c r="T53" s="7"/>
      <c r="U53" s="17"/>
    </row>
    <row r="54" spans="1:21">
      <c r="A54" t="s">
        <v>48</v>
      </c>
      <c r="B54" s="10">
        <v>0</v>
      </c>
      <c r="C54" s="7">
        <v>0</v>
      </c>
      <c r="D54" s="7">
        <v>533655.76362313656</v>
      </c>
      <c r="E54" s="7">
        <v>0</v>
      </c>
      <c r="F54" s="17">
        <f t="shared" si="1"/>
        <v>533655.76362313656</v>
      </c>
      <c r="K54" s="10"/>
      <c r="L54" s="7"/>
      <c r="M54" s="7"/>
      <c r="N54" s="7"/>
      <c r="O54" s="7"/>
      <c r="P54" s="7"/>
      <c r="Q54" s="7"/>
      <c r="R54" s="7"/>
      <c r="S54" s="7"/>
      <c r="T54" s="7"/>
      <c r="U54" s="17"/>
    </row>
    <row r="55" spans="1:21">
      <c r="A55" t="s">
        <v>49</v>
      </c>
      <c r="B55" s="10">
        <v>0</v>
      </c>
      <c r="C55" s="7">
        <v>0</v>
      </c>
      <c r="D55" s="7">
        <v>2454.5064837898353</v>
      </c>
      <c r="E55" s="7">
        <v>0</v>
      </c>
      <c r="F55" s="17">
        <f t="shared" si="1"/>
        <v>2454.5064837898353</v>
      </c>
      <c r="K55" s="10"/>
      <c r="L55" s="7"/>
      <c r="M55" s="7"/>
      <c r="N55" s="7"/>
      <c r="O55" s="7"/>
      <c r="P55" s="7"/>
      <c r="Q55" s="7"/>
      <c r="R55" s="7"/>
      <c r="S55" s="7"/>
      <c r="T55" s="7"/>
      <c r="U55" s="17"/>
    </row>
    <row r="56" spans="1:21">
      <c r="A56" t="s">
        <v>50</v>
      </c>
      <c r="B56" s="10">
        <v>0</v>
      </c>
      <c r="C56" s="7">
        <v>0</v>
      </c>
      <c r="D56" s="7">
        <v>75989.379373826436</v>
      </c>
      <c r="E56" s="7">
        <v>0</v>
      </c>
      <c r="F56" s="17">
        <f t="shared" si="1"/>
        <v>75989.379373826436</v>
      </c>
      <c r="K56" s="10"/>
      <c r="L56" s="7"/>
      <c r="M56" s="7"/>
      <c r="N56" s="7"/>
      <c r="O56" s="7"/>
      <c r="P56" s="7"/>
      <c r="Q56" s="7"/>
      <c r="R56" s="7"/>
      <c r="S56" s="7"/>
      <c r="T56" s="7"/>
      <c r="U56" s="17"/>
    </row>
    <row r="57" spans="1:21">
      <c r="A57" t="s">
        <v>51</v>
      </c>
      <c r="B57" s="10">
        <v>0</v>
      </c>
      <c r="C57" s="7">
        <v>0</v>
      </c>
      <c r="D57" s="7">
        <v>6.7448562541858337</v>
      </c>
      <c r="E57" s="7">
        <v>0</v>
      </c>
      <c r="F57" s="17">
        <f t="shared" si="1"/>
        <v>6.7448562541858337</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13901518.814999999</v>
      </c>
      <c r="E60" s="7">
        <f>SUM(E6:E58)</f>
        <v>0</v>
      </c>
      <c r="F60" s="17">
        <f>SUM(F6:F58)</f>
        <v>13901518.814999999</v>
      </c>
      <c r="K60" s="10">
        <f>SUM(K6:K58)</f>
        <v>151260</v>
      </c>
      <c r="L60" s="7">
        <f>SUM(L6:L58)</f>
        <v>0</v>
      </c>
      <c r="M60" s="7"/>
      <c r="N60" s="7">
        <f>SUM(N6:N58)</f>
        <v>0</v>
      </c>
      <c r="O60" s="7">
        <f>SUM(O6:O58)</f>
        <v>0</v>
      </c>
      <c r="P60" s="7"/>
      <c r="Q60" s="7">
        <f>SUM(Q6:Q58)</f>
        <v>6470687</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Italic"Reliance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15.051881993896236</v>
      </c>
      <c r="C9" s="7">
        <v>0</v>
      </c>
      <c r="D9" s="7">
        <v>2.9481180061037642</v>
      </c>
      <c r="E9" s="7">
        <v>0</v>
      </c>
      <c r="F9" s="17">
        <f t="shared" si="0"/>
        <v>18</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26.309859154929576</v>
      </c>
      <c r="C13" s="7">
        <v>0</v>
      </c>
      <c r="D13" s="7">
        <v>1.6901408450704225</v>
      </c>
      <c r="E13" s="7">
        <v>0</v>
      </c>
      <c r="F13" s="17">
        <f t="shared" si="0"/>
        <v>28</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127564.99999999999</v>
      </c>
      <c r="K15" s="10"/>
      <c r="L15" s="7"/>
      <c r="M15" s="7"/>
      <c r="N15" s="7"/>
      <c r="O15" s="7"/>
      <c r="P15" s="7"/>
      <c r="Q15" s="7"/>
      <c r="R15" s="7"/>
      <c r="S15" s="7"/>
      <c r="T15" s="7"/>
      <c r="U15" s="17"/>
    </row>
    <row r="16" spans="1:21">
      <c r="A16" t="s">
        <v>10</v>
      </c>
      <c r="B16" s="10">
        <v>196.81253852249714</v>
      </c>
      <c r="C16" s="7">
        <v>0</v>
      </c>
      <c r="D16" s="7">
        <v>23.187461477502861</v>
      </c>
      <c r="E16" s="7">
        <v>0</v>
      </c>
      <c r="F16" s="17">
        <f t="shared" si="0"/>
        <v>220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49</v>
      </c>
      <c r="C19" s="7">
        <v>0</v>
      </c>
      <c r="D19" s="7">
        <v>0</v>
      </c>
      <c r="E19" s="7">
        <v>0</v>
      </c>
      <c r="F19" s="17">
        <f t="shared" si="0"/>
        <v>49</v>
      </c>
      <c r="H19" s="4" t="s">
        <v>72</v>
      </c>
      <c r="I19" s="14">
        <v>0</v>
      </c>
      <c r="K19" s="10"/>
      <c r="L19" s="7"/>
      <c r="M19" s="7"/>
      <c r="N19" s="7"/>
      <c r="O19" s="7"/>
      <c r="P19" s="7"/>
      <c r="Q19" s="7"/>
      <c r="R19" s="7"/>
      <c r="S19" s="7"/>
      <c r="T19" s="7"/>
      <c r="U19" s="17"/>
    </row>
    <row r="20" spans="1:21">
      <c r="A20" t="s">
        <v>14</v>
      </c>
      <c r="B20" s="10">
        <v>100.17907769603445</v>
      </c>
      <c r="C20" s="7">
        <v>0</v>
      </c>
      <c r="D20" s="7">
        <v>8.8209223039655473</v>
      </c>
      <c r="E20" s="7">
        <v>0</v>
      </c>
      <c r="F20" s="17">
        <f t="shared" si="0"/>
        <v>109</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1134.2397198353419</v>
      </c>
      <c r="C23" s="7">
        <v>0</v>
      </c>
      <c r="D23" s="7">
        <v>1083.7602801646581</v>
      </c>
      <c r="E23" s="7">
        <v>0</v>
      </c>
      <c r="F23" s="17">
        <f t="shared" si="0"/>
        <v>2218</v>
      </c>
      <c r="H23" s="4" t="s">
        <v>76</v>
      </c>
      <c r="I23" s="14"/>
      <c r="K23" s="10"/>
      <c r="L23" s="7"/>
      <c r="M23" s="7"/>
      <c r="N23" s="7"/>
      <c r="O23" s="7"/>
      <c r="P23" s="7"/>
      <c r="Q23" s="7"/>
      <c r="R23" s="7"/>
      <c r="S23" s="7"/>
      <c r="T23" s="7"/>
      <c r="U23" s="17"/>
    </row>
    <row r="24" spans="1:21">
      <c r="A24" t="s">
        <v>18</v>
      </c>
      <c r="B24" s="10">
        <v>407.84463862242825</v>
      </c>
      <c r="C24" s="7">
        <v>0</v>
      </c>
      <c r="D24" s="7">
        <v>504.15536137757175</v>
      </c>
      <c r="E24" s="7">
        <v>0</v>
      </c>
      <c r="F24" s="17">
        <f t="shared" si="0"/>
        <v>912</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308.51986317810849</v>
      </c>
      <c r="C26" s="7">
        <v>0</v>
      </c>
      <c r="D26" s="7">
        <v>16.480136821891502</v>
      </c>
      <c r="E26" s="7">
        <v>0</v>
      </c>
      <c r="F26" s="17">
        <f t="shared" si="0"/>
        <v>325</v>
      </c>
      <c r="H26" s="4" t="s">
        <v>78</v>
      </c>
      <c r="I26" s="14">
        <f>SUM(I10:I16)-SUM(I19:I24)</f>
        <v>127564.99999999999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127565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16.142095914742452</v>
      </c>
      <c r="C30" s="7">
        <v>0</v>
      </c>
      <c r="D30" s="7">
        <v>15.857904085257548</v>
      </c>
      <c r="E30" s="7">
        <v>0</v>
      </c>
      <c r="F30" s="17">
        <f t="shared" si="0"/>
        <v>32</v>
      </c>
      <c r="K30" s="10"/>
      <c r="L30" s="7"/>
      <c r="M30" s="7"/>
      <c r="N30" s="7"/>
      <c r="O30" s="7"/>
      <c r="P30" s="7"/>
      <c r="Q30" s="7"/>
      <c r="R30" s="7"/>
      <c r="S30" s="7"/>
      <c r="T30" s="7"/>
      <c r="U30" s="17"/>
    </row>
    <row r="31" spans="1:21">
      <c r="A31" t="s">
        <v>25</v>
      </c>
      <c r="B31" s="10">
        <v>104.94237260228863</v>
      </c>
      <c r="C31" s="7">
        <v>0</v>
      </c>
      <c r="D31" s="7">
        <v>368.05762739771137</v>
      </c>
      <c r="E31" s="7">
        <v>0</v>
      </c>
      <c r="F31" s="17">
        <f t="shared" si="0"/>
        <v>473</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3</v>
      </c>
      <c r="C33" s="7">
        <v>0</v>
      </c>
      <c r="D33" s="7">
        <v>0</v>
      </c>
      <c r="E33" s="7">
        <v>0</v>
      </c>
      <c r="F33" s="17">
        <f t="shared" si="0"/>
        <v>3</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8658.2419994976844</v>
      </c>
      <c r="C39" s="7">
        <v>0</v>
      </c>
      <c r="D39" s="7">
        <v>5067.7580005023146</v>
      </c>
      <c r="E39" s="7">
        <v>0</v>
      </c>
      <c r="F39" s="17">
        <f t="shared" si="1"/>
        <v>13726</v>
      </c>
      <c r="K39" s="10"/>
      <c r="L39" s="7"/>
      <c r="M39" s="7"/>
      <c r="N39" s="7"/>
      <c r="O39" s="7"/>
      <c r="P39" s="7"/>
      <c r="Q39" s="7"/>
      <c r="R39" s="7"/>
      <c r="S39" s="7"/>
      <c r="T39" s="7"/>
      <c r="U39" s="17"/>
    </row>
    <row r="40" spans="1:21">
      <c r="A40" t="s">
        <v>34</v>
      </c>
      <c r="B40" s="10">
        <v>1</v>
      </c>
      <c r="C40" s="7">
        <v>0</v>
      </c>
      <c r="D40" s="7">
        <v>0</v>
      </c>
      <c r="E40" s="7">
        <v>0</v>
      </c>
      <c r="F40" s="17">
        <f t="shared" si="1"/>
        <v>1</v>
      </c>
      <c r="K40" s="10"/>
      <c r="L40" s="7"/>
      <c r="M40" s="7"/>
      <c r="N40" s="7"/>
      <c r="O40" s="7"/>
      <c r="P40" s="7"/>
      <c r="Q40" s="7"/>
      <c r="R40" s="7"/>
      <c r="S40" s="7"/>
      <c r="T40" s="7"/>
      <c r="U40" s="17"/>
    </row>
    <row r="41" spans="1:21">
      <c r="A41" t="s">
        <v>35</v>
      </c>
      <c r="B41" s="10">
        <v>352.31982337170791</v>
      </c>
      <c r="C41" s="7">
        <v>0</v>
      </c>
      <c r="D41" s="7">
        <v>17.680176628292067</v>
      </c>
      <c r="E41" s="7">
        <v>0</v>
      </c>
      <c r="F41" s="17">
        <f t="shared" si="1"/>
        <v>370</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176.99325626204239</v>
      </c>
      <c r="C47" s="7">
        <v>0</v>
      </c>
      <c r="D47" s="7">
        <v>25.00674373795761</v>
      </c>
      <c r="E47" s="7">
        <v>0</v>
      </c>
      <c r="F47" s="17">
        <f t="shared" si="1"/>
        <v>202</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5025.0389482047012</v>
      </c>
      <c r="C49" s="7">
        <v>0</v>
      </c>
      <c r="D49" s="7">
        <v>2009.961051795299</v>
      </c>
      <c r="E49" s="7">
        <v>0</v>
      </c>
      <c r="F49" s="17">
        <f t="shared" si="1"/>
        <v>7035</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83720.84661547649</v>
      </c>
      <c r="C53" s="7">
        <v>0</v>
      </c>
      <c r="D53" s="7">
        <v>17015.153384523506</v>
      </c>
      <c r="E53" s="7">
        <v>0</v>
      </c>
      <c r="F53" s="17">
        <f t="shared" si="1"/>
        <v>100736</v>
      </c>
      <c r="K53" s="10">
        <v>97500</v>
      </c>
      <c r="L53" s="7">
        <v>0</v>
      </c>
      <c r="M53" s="7"/>
      <c r="N53" s="7">
        <v>0</v>
      </c>
      <c r="O53" s="7">
        <v>0</v>
      </c>
      <c r="P53" s="7"/>
      <c r="Q53" s="7">
        <v>15000</v>
      </c>
      <c r="R53" s="7">
        <v>0</v>
      </c>
      <c r="S53" s="7"/>
      <c r="T53" s="7">
        <v>0</v>
      </c>
      <c r="U53" s="17">
        <v>0</v>
      </c>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947.76453636507404</v>
      </c>
      <c r="C55" s="7">
        <v>0</v>
      </c>
      <c r="D55" s="7">
        <v>160.23546363492594</v>
      </c>
      <c r="E55" s="7">
        <v>0</v>
      </c>
      <c r="F55" s="17">
        <f t="shared" si="1"/>
        <v>1108</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101244.24722669797</v>
      </c>
      <c r="C60" s="7">
        <f>SUM(C6:C58)</f>
        <v>0</v>
      </c>
      <c r="D60" s="7">
        <f>SUM(D6:D58)</f>
        <v>26320.752773302029</v>
      </c>
      <c r="E60" s="7">
        <f>SUM(E6:E58)</f>
        <v>0</v>
      </c>
      <c r="F60" s="17">
        <f>SUM(F6:F58)</f>
        <v>127565</v>
      </c>
      <c r="K60" s="10">
        <f>SUM(K6:K58)</f>
        <v>97500</v>
      </c>
      <c r="L60" s="7">
        <f>SUM(L6:L58)</f>
        <v>0</v>
      </c>
      <c r="M60" s="7"/>
      <c r="N60" s="7">
        <f>SUM(N6:N58)</f>
        <v>0</v>
      </c>
      <c r="O60" s="7">
        <f>SUM(O6:O58)</f>
        <v>0</v>
      </c>
      <c r="P60" s="7"/>
      <c r="Q60" s="7">
        <f>SUM(Q6:Q58)</f>
        <v>15000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Italic"Settlers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90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1940.4177241253078</v>
      </c>
      <c r="C6" s="7">
        <v>1581.5409701788938</v>
      </c>
      <c r="D6" s="7">
        <v>1287.0300145919098</v>
      </c>
      <c r="E6" s="7">
        <v>0</v>
      </c>
      <c r="F6" s="17">
        <f t="shared" ref="F6:F37" si="0">SUM(B6:E6)</f>
        <v>4808.9887088961113</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1259.3145595747735</v>
      </c>
      <c r="C8" s="7">
        <v>1026.4066059322786</v>
      </c>
      <c r="D8" s="7">
        <v>835.27150666278862</v>
      </c>
      <c r="E8" s="7">
        <v>0</v>
      </c>
      <c r="F8" s="17">
        <f t="shared" si="0"/>
        <v>3120.9926721698412</v>
      </c>
      <c r="H8" s="4" t="s">
        <v>64</v>
      </c>
      <c r="I8" s="13"/>
      <c r="K8" s="10"/>
      <c r="L8" s="7"/>
      <c r="M8" s="7"/>
      <c r="N8" s="7"/>
      <c r="O8" s="7"/>
      <c r="P8" s="7"/>
      <c r="Q8" s="7"/>
      <c r="R8" s="7"/>
      <c r="S8" s="7"/>
      <c r="T8" s="7"/>
      <c r="U8" s="17"/>
    </row>
    <row r="9" spans="1:21">
      <c r="A9" t="s">
        <v>3</v>
      </c>
      <c r="B9" s="10">
        <v>1276.6649363968547</v>
      </c>
      <c r="C9" s="7">
        <v>1040.5480618935371</v>
      </c>
      <c r="D9" s="7">
        <v>846.77957291927692</v>
      </c>
      <c r="E9" s="7">
        <v>0</v>
      </c>
      <c r="F9" s="17">
        <f t="shared" si="0"/>
        <v>3163.9925712096683</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430.12794633345356</v>
      </c>
      <c r="C11" s="7">
        <v>350.57655941166576</v>
      </c>
      <c r="D11" s="7">
        <v>285.29299138177913</v>
      </c>
      <c r="E11" s="7">
        <v>0</v>
      </c>
      <c r="F11" s="17">
        <f t="shared" si="0"/>
        <v>1065.9974971268985</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323.20120545318605</v>
      </c>
      <c r="C13" s="7">
        <v>263.42572616204905</v>
      </c>
      <c r="D13" s="7">
        <v>214.37118770807228</v>
      </c>
      <c r="E13" s="7">
        <v>0</v>
      </c>
      <c r="F13" s="17">
        <f t="shared" si="0"/>
        <v>800.99811932330738</v>
      </c>
      <c r="H13" s="4" t="s">
        <v>67</v>
      </c>
      <c r="I13" s="14">
        <v>0</v>
      </c>
      <c r="K13" s="10"/>
      <c r="L13" s="7"/>
      <c r="M13" s="7"/>
      <c r="N13" s="7"/>
      <c r="O13" s="7"/>
      <c r="P13" s="7"/>
      <c r="Q13" s="7"/>
      <c r="R13" s="7"/>
      <c r="S13" s="7"/>
      <c r="T13" s="7"/>
      <c r="U13" s="17"/>
    </row>
    <row r="14" spans="1:21">
      <c r="A14" t="s">
        <v>8</v>
      </c>
      <c r="B14" s="10">
        <v>518.49381898544823</v>
      </c>
      <c r="C14" s="7">
        <v>422.59932349342455</v>
      </c>
      <c r="D14" s="7">
        <v>343.90384045552173</v>
      </c>
      <c r="E14" s="7">
        <v>0</v>
      </c>
      <c r="F14" s="17">
        <f t="shared" si="0"/>
        <v>1284.9969829343945</v>
      </c>
      <c r="H14" s="4" t="s">
        <v>68</v>
      </c>
      <c r="I14" s="14">
        <v>0</v>
      </c>
      <c r="K14" s="10"/>
      <c r="L14" s="7"/>
      <c r="M14" s="7"/>
      <c r="N14" s="7"/>
      <c r="O14" s="7"/>
      <c r="P14" s="7"/>
      <c r="Q14" s="7"/>
      <c r="R14" s="7"/>
      <c r="S14" s="7"/>
      <c r="T14" s="7"/>
      <c r="U14" s="17"/>
    </row>
    <row r="15" spans="1:21">
      <c r="A15" t="s">
        <v>9</v>
      </c>
      <c r="B15" s="10">
        <v>28858.115123610314</v>
      </c>
      <c r="C15" s="7">
        <v>23520.85884533052</v>
      </c>
      <c r="D15" s="7">
        <v>19140.858108466076</v>
      </c>
      <c r="E15" s="7">
        <v>0</v>
      </c>
      <c r="F15" s="17">
        <f t="shared" si="0"/>
        <v>71519.8320774069</v>
      </c>
      <c r="H15" s="4" t="s">
        <v>69</v>
      </c>
      <c r="I15" s="14">
        <v>566459.66999999993</v>
      </c>
      <c r="K15" s="10"/>
      <c r="L15" s="7"/>
      <c r="M15" s="7"/>
      <c r="N15" s="7"/>
      <c r="O15" s="7"/>
      <c r="P15" s="7"/>
      <c r="Q15" s="7"/>
      <c r="R15" s="7"/>
      <c r="S15" s="7"/>
      <c r="T15" s="7"/>
      <c r="U15" s="17"/>
    </row>
    <row r="16" spans="1:21">
      <c r="A16" t="s">
        <v>10</v>
      </c>
      <c r="B16" s="10">
        <v>14736.92587611325</v>
      </c>
      <c r="C16" s="7">
        <v>12011.358048210384</v>
      </c>
      <c r="D16" s="7">
        <v>9774.6303229237474</v>
      </c>
      <c r="E16" s="7">
        <v>0</v>
      </c>
      <c r="F16" s="17">
        <f t="shared" si="0"/>
        <v>36522.914247247383</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2021.1171512047551</v>
      </c>
      <c r="C19" s="7">
        <v>1647.3151839521895</v>
      </c>
      <c r="D19" s="7">
        <v>1340.5559041569716</v>
      </c>
      <c r="E19" s="7">
        <v>0</v>
      </c>
      <c r="F19" s="17">
        <f t="shared" si="0"/>
        <v>5008.988239313916</v>
      </c>
      <c r="H19" s="4" t="s">
        <v>72</v>
      </c>
      <c r="I19" s="14">
        <v>0</v>
      </c>
      <c r="K19" s="10"/>
      <c r="L19" s="7"/>
      <c r="M19" s="7"/>
      <c r="N19" s="7"/>
      <c r="O19" s="7"/>
      <c r="P19" s="7"/>
      <c r="Q19" s="7"/>
      <c r="R19" s="7"/>
      <c r="S19" s="7"/>
      <c r="T19" s="7"/>
      <c r="U19" s="17"/>
    </row>
    <row r="20" spans="1:21">
      <c r="A20" t="s">
        <v>14</v>
      </c>
      <c r="B20" s="10">
        <v>4762.8801862289738</v>
      </c>
      <c r="C20" s="7">
        <v>3881.994096899909</v>
      </c>
      <c r="D20" s="7">
        <v>3159.0980021299447</v>
      </c>
      <c r="E20" s="7">
        <v>0</v>
      </c>
      <c r="F20" s="17">
        <f t="shared" si="0"/>
        <v>11803.972285258827</v>
      </c>
      <c r="H20" s="4" t="s">
        <v>73</v>
      </c>
      <c r="I20" s="14">
        <v>0</v>
      </c>
      <c r="K20" s="10"/>
      <c r="L20" s="7"/>
      <c r="M20" s="7"/>
      <c r="N20" s="7"/>
      <c r="O20" s="7"/>
      <c r="P20" s="7"/>
      <c r="Q20" s="7"/>
      <c r="R20" s="7"/>
      <c r="S20" s="7"/>
      <c r="T20" s="7"/>
      <c r="U20" s="17"/>
    </row>
    <row r="21" spans="1:21">
      <c r="A21" t="s">
        <v>15</v>
      </c>
      <c r="B21" s="10">
        <v>532.2127215889542</v>
      </c>
      <c r="C21" s="7">
        <v>433.78093983488475</v>
      </c>
      <c r="D21" s="7">
        <v>353.00324168158215</v>
      </c>
      <c r="E21" s="7">
        <v>0</v>
      </c>
      <c r="F21" s="17">
        <f t="shared" si="0"/>
        <v>1318.9969031054211</v>
      </c>
      <c r="H21" s="4" t="s">
        <v>74</v>
      </c>
      <c r="I21" s="14"/>
      <c r="K21" s="10"/>
      <c r="L21" s="7"/>
      <c r="M21" s="7"/>
      <c r="N21" s="7"/>
      <c r="O21" s="7"/>
      <c r="P21" s="7"/>
      <c r="Q21" s="7"/>
      <c r="R21" s="7"/>
      <c r="S21" s="7"/>
      <c r="T21" s="7"/>
      <c r="U21" s="17"/>
    </row>
    <row r="22" spans="1:21">
      <c r="A22" t="s">
        <v>16</v>
      </c>
      <c r="B22" s="10">
        <v>358.3054562327456</v>
      </c>
      <c r="C22" s="7">
        <v>292.03750915343267</v>
      </c>
      <c r="D22" s="7">
        <v>237.65494966887422</v>
      </c>
      <c r="E22" s="7">
        <v>0</v>
      </c>
      <c r="F22" s="17">
        <f t="shared" si="0"/>
        <v>887.99791505505254</v>
      </c>
      <c r="H22" s="4" t="s">
        <v>75</v>
      </c>
      <c r="I22" s="14">
        <v>0</v>
      </c>
      <c r="K22" s="10"/>
      <c r="L22" s="7"/>
      <c r="M22" s="7"/>
      <c r="N22" s="7"/>
      <c r="O22" s="7"/>
      <c r="P22" s="7"/>
      <c r="Q22" s="7"/>
      <c r="R22" s="7"/>
      <c r="S22" s="7"/>
      <c r="T22" s="7"/>
      <c r="U22" s="17"/>
    </row>
    <row r="23" spans="1:21">
      <c r="A23" t="s">
        <v>17</v>
      </c>
      <c r="B23" s="10">
        <v>3179.5574269302197</v>
      </c>
      <c r="C23" s="7">
        <v>2591.5040226678484</v>
      </c>
      <c r="D23" s="7">
        <v>2108.9200488634333</v>
      </c>
      <c r="E23" s="7">
        <v>0</v>
      </c>
      <c r="F23" s="17">
        <f t="shared" si="0"/>
        <v>7879.9814984615014</v>
      </c>
      <c r="H23" s="4" t="s">
        <v>76</v>
      </c>
      <c r="I23" s="14"/>
      <c r="K23" s="10"/>
      <c r="L23" s="7"/>
      <c r="M23" s="7"/>
      <c r="N23" s="7"/>
      <c r="O23" s="7"/>
      <c r="P23" s="7"/>
      <c r="Q23" s="7"/>
      <c r="R23" s="7"/>
      <c r="S23" s="7"/>
      <c r="T23" s="7"/>
      <c r="U23" s="17"/>
    </row>
    <row r="24" spans="1:21">
      <c r="A24" t="s">
        <v>18</v>
      </c>
      <c r="B24" s="10">
        <v>8782.1151519208415</v>
      </c>
      <c r="C24" s="7">
        <v>7157.8788138788987</v>
      </c>
      <c r="D24" s="7">
        <v>5824.9549319178459</v>
      </c>
      <c r="E24" s="7">
        <v>0</v>
      </c>
      <c r="F24" s="17">
        <f t="shared" si="0"/>
        <v>21764.948897717586</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4628.1121430062967</v>
      </c>
      <c r="C26" s="7">
        <v>3772.1511598985053</v>
      </c>
      <c r="D26" s="7">
        <v>3069.7097665562915</v>
      </c>
      <c r="E26" s="7">
        <v>0</v>
      </c>
      <c r="F26" s="17">
        <f t="shared" si="0"/>
        <v>11469.973069461092</v>
      </c>
      <c r="H26" s="4" t="s">
        <v>78</v>
      </c>
      <c r="I26" s="14">
        <f>SUM(I10:I16)-SUM(I19:I24)</f>
        <v>566459.66999999993</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566459.66999999993</v>
      </c>
      <c r="K27" s="10"/>
      <c r="L27" s="7"/>
      <c r="M27" s="7"/>
      <c r="N27" s="7"/>
      <c r="O27" s="7"/>
      <c r="P27" s="7"/>
      <c r="Q27" s="7"/>
      <c r="R27" s="7"/>
      <c r="S27" s="7"/>
      <c r="T27" s="7"/>
      <c r="U27" s="17"/>
    </row>
    <row r="28" spans="1:21">
      <c r="A28" t="s">
        <v>22</v>
      </c>
      <c r="B28" s="10">
        <v>6101.2801843416055</v>
      </c>
      <c r="C28" s="7">
        <v>4972.8594323300167</v>
      </c>
      <c r="D28" s="7">
        <v>4046.8248805664934</v>
      </c>
      <c r="E28" s="7">
        <v>0</v>
      </c>
      <c r="F28" s="17">
        <f t="shared" si="0"/>
        <v>15120.964497238116</v>
      </c>
      <c r="H28" s="23"/>
      <c r="I28" s="25"/>
      <c r="K28" s="10"/>
      <c r="L28" s="7"/>
      <c r="M28" s="7"/>
      <c r="N28" s="7"/>
      <c r="O28" s="7"/>
      <c r="P28" s="7"/>
      <c r="Q28" s="7"/>
      <c r="R28" s="7"/>
      <c r="S28" s="7"/>
      <c r="T28" s="7"/>
      <c r="U28" s="17"/>
    </row>
    <row r="29" spans="1:21">
      <c r="A29" t="s">
        <v>23</v>
      </c>
      <c r="B29" s="10">
        <v>76.260958590077607</v>
      </c>
      <c r="C29" s="7">
        <v>62.156632015764387</v>
      </c>
      <c r="D29" s="7">
        <v>50.581965638983363</v>
      </c>
      <c r="E29" s="7">
        <v>0</v>
      </c>
      <c r="F29" s="17">
        <f t="shared" si="0"/>
        <v>188.99955624482538</v>
      </c>
      <c r="K29" s="10"/>
      <c r="L29" s="7"/>
      <c r="M29" s="7"/>
      <c r="N29" s="7"/>
      <c r="O29" s="7"/>
      <c r="P29" s="7"/>
      <c r="Q29" s="7"/>
      <c r="R29" s="7"/>
      <c r="S29" s="7"/>
      <c r="T29" s="7"/>
      <c r="U29" s="17"/>
    </row>
    <row r="30" spans="1:21">
      <c r="A30" t="s">
        <v>24</v>
      </c>
      <c r="B30" s="10">
        <v>2863.2156727787865</v>
      </c>
      <c r="C30" s="7">
        <v>2333.6691046765295</v>
      </c>
      <c r="D30" s="7">
        <v>1899.0985617683914</v>
      </c>
      <c r="E30" s="7">
        <v>0</v>
      </c>
      <c r="F30" s="17">
        <f t="shared" si="0"/>
        <v>7095.9833392237069</v>
      </c>
      <c r="K30" s="10"/>
      <c r="L30" s="7"/>
      <c r="M30" s="7"/>
      <c r="N30" s="7"/>
      <c r="O30" s="7"/>
      <c r="P30" s="7"/>
      <c r="Q30" s="7"/>
      <c r="R30" s="7"/>
      <c r="S30" s="7"/>
      <c r="T30" s="7"/>
      <c r="U30" s="17"/>
    </row>
    <row r="31" spans="1:21">
      <c r="A31" t="s">
        <v>25</v>
      </c>
      <c r="B31" s="10">
        <v>1798.7902296008779</v>
      </c>
      <c r="C31" s="7">
        <v>1466.1072250067598</v>
      </c>
      <c r="D31" s="7">
        <v>1193.0920784052262</v>
      </c>
      <c r="E31" s="7">
        <v>0</v>
      </c>
      <c r="F31" s="17">
        <f t="shared" si="0"/>
        <v>4457.9895330128638</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345.79704503543127</v>
      </c>
      <c r="C33" s="7">
        <v>281.84250601857184</v>
      </c>
      <c r="D33" s="7">
        <v>229.35843678628959</v>
      </c>
      <c r="E33" s="7">
        <v>0</v>
      </c>
      <c r="F33" s="17">
        <f t="shared" si="0"/>
        <v>856.99798784029258</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466.84618565460204</v>
      </c>
      <c r="C36" s="7">
        <v>380.50382667851528</v>
      </c>
      <c r="D36" s="7">
        <v>309.64727113388216</v>
      </c>
      <c r="E36" s="7">
        <v>0</v>
      </c>
      <c r="F36" s="17">
        <f t="shared" si="0"/>
        <v>1156.9972834669995</v>
      </c>
      <c r="K36" s="10"/>
      <c r="L36" s="7"/>
      <c r="M36" s="7"/>
      <c r="N36" s="7"/>
      <c r="O36" s="7"/>
      <c r="P36" s="7"/>
      <c r="Q36" s="7"/>
      <c r="R36" s="7"/>
      <c r="S36" s="7"/>
      <c r="T36" s="7"/>
      <c r="U36" s="17"/>
    </row>
    <row r="37" spans="1:21">
      <c r="A37" t="s">
        <v>31</v>
      </c>
      <c r="B37" s="10">
        <v>369.19987888847095</v>
      </c>
      <c r="C37" s="7">
        <v>300.91702801282759</v>
      </c>
      <c r="D37" s="7">
        <v>244.88094476015749</v>
      </c>
      <c r="E37" s="7">
        <v>0</v>
      </c>
      <c r="F37" s="17">
        <f t="shared" si="0"/>
        <v>914.99785166145602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34066.456147317847</v>
      </c>
      <c r="C39" s="7">
        <v>27765.926602259027</v>
      </c>
      <c r="D39" s="7">
        <v>22595.419020995167</v>
      </c>
      <c r="E39" s="7">
        <v>0</v>
      </c>
      <c r="F39" s="17">
        <f t="shared" si="1"/>
        <v>84427.801770572041</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17996.779232987519</v>
      </c>
      <c r="C41" s="7">
        <v>14668.307413582661</v>
      </c>
      <c r="D41" s="7">
        <v>11936.80863190442</v>
      </c>
      <c r="E41" s="7">
        <v>0</v>
      </c>
      <c r="F41" s="17">
        <f t="shared" si="1"/>
        <v>44601.8952784746</v>
      </c>
      <c r="K41" s="10"/>
      <c r="L41" s="7"/>
      <c r="M41" s="7"/>
      <c r="N41" s="7"/>
      <c r="O41" s="7"/>
      <c r="P41" s="7"/>
      <c r="Q41" s="7"/>
      <c r="R41" s="7"/>
      <c r="S41" s="7"/>
      <c r="T41" s="7"/>
      <c r="U41" s="17"/>
    </row>
    <row r="42" spans="1:21">
      <c r="A42" t="s">
        <v>36</v>
      </c>
      <c r="B42" s="10">
        <v>3411.9717769190274</v>
      </c>
      <c r="C42" s="7">
        <v>2780.9337583349397</v>
      </c>
      <c r="D42" s="7">
        <v>2263.0746108108106</v>
      </c>
      <c r="E42" s="7">
        <v>0</v>
      </c>
      <c r="F42" s="17">
        <f t="shared" si="1"/>
        <v>8455.9801460647777</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17021.5266567324</v>
      </c>
      <c r="C44" s="7">
        <v>13873.426040132385</v>
      </c>
      <c r="D44" s="7">
        <v>11289.948256510652</v>
      </c>
      <c r="E44" s="7">
        <v>0</v>
      </c>
      <c r="F44" s="17">
        <f t="shared" si="1"/>
        <v>42184.900953375436</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12017.758680671277</v>
      </c>
      <c r="C47" s="7">
        <v>9795.0959151191873</v>
      </c>
      <c r="D47" s="7">
        <v>7971.0754740289976</v>
      </c>
      <c r="E47" s="7">
        <v>0</v>
      </c>
      <c r="F47" s="17">
        <f t="shared" si="1"/>
        <v>29783.930069819464</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9388.1678492874889</v>
      </c>
      <c r="C49" s="7">
        <v>7651.8431593163486</v>
      </c>
      <c r="D49" s="7">
        <v>6226.9343625514584</v>
      </c>
      <c r="E49" s="7">
        <v>0</v>
      </c>
      <c r="F49" s="17">
        <f t="shared" si="1"/>
        <v>23266.945371155296</v>
      </c>
      <c r="K49" s="10"/>
      <c r="L49" s="7"/>
      <c r="M49" s="7"/>
      <c r="N49" s="7"/>
      <c r="O49" s="7"/>
      <c r="P49" s="7"/>
      <c r="Q49" s="7"/>
      <c r="R49" s="7"/>
      <c r="S49" s="7"/>
      <c r="T49" s="7"/>
      <c r="U49" s="17"/>
    </row>
    <row r="50" spans="1:21">
      <c r="A50" t="s">
        <v>44</v>
      </c>
      <c r="B50" s="10">
        <v>16852.864854136358</v>
      </c>
      <c r="C50" s="7">
        <v>13735.957933346197</v>
      </c>
      <c r="D50" s="7">
        <v>11178.079147319671</v>
      </c>
      <c r="E50" s="7">
        <v>0</v>
      </c>
      <c r="F50" s="17">
        <f t="shared" si="1"/>
        <v>41766.901934802227</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26782.525859126934</v>
      </c>
      <c r="C53" s="7">
        <v>21829.146067081358</v>
      </c>
      <c r="D53" s="7">
        <v>17764.172228852691</v>
      </c>
      <c r="E53" s="7">
        <v>0</v>
      </c>
      <c r="F53" s="17">
        <f t="shared" si="1"/>
        <v>66375.844155060986</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1667.2501634613793</v>
      </c>
      <c r="C55" s="7">
        <v>1358.8952565562881</v>
      </c>
      <c r="D55" s="7">
        <v>1105.844878414176</v>
      </c>
      <c r="E55" s="7">
        <v>0</v>
      </c>
      <c r="F55" s="17">
        <f t="shared" si="1"/>
        <v>4131.9902984318433</v>
      </c>
      <c r="K55" s="10"/>
      <c r="L55" s="7"/>
      <c r="M55" s="7"/>
      <c r="N55" s="7"/>
      <c r="O55" s="7"/>
      <c r="P55" s="7"/>
      <c r="Q55" s="7"/>
      <c r="R55" s="7"/>
      <c r="S55" s="7"/>
      <c r="T55" s="7"/>
      <c r="U55" s="17"/>
    </row>
    <row r="56" spans="1:21">
      <c r="A56" t="s">
        <v>50</v>
      </c>
      <c r="B56" s="10">
        <v>3731.1380110182408</v>
      </c>
      <c r="C56" s="7">
        <v>3041.0707738083238</v>
      </c>
      <c r="D56" s="7">
        <v>2474.7695040406297</v>
      </c>
      <c r="E56" s="7">
        <v>0</v>
      </c>
      <c r="F56" s="17">
        <f t="shared" si="1"/>
        <v>9246.9782888671944</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228565.39081425371</v>
      </c>
      <c r="C60" s="7">
        <f>SUM(C6:C58)</f>
        <v>186292.63454117411</v>
      </c>
      <c r="D60" s="7">
        <f>SUM(D6:D58)</f>
        <v>151601.64464457222</v>
      </c>
      <c r="E60" s="7">
        <f>SUM(E6:E58)</f>
        <v>0</v>
      </c>
      <c r="F60" s="17">
        <f>SUM(F6:F58)</f>
        <v>566459.66999999993</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Italic"Shenandoah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18680.333657908683</v>
      </c>
      <c r="D6" s="7">
        <v>0</v>
      </c>
      <c r="E6" s="7">
        <v>0</v>
      </c>
      <c r="F6" s="17">
        <f t="shared" ref="F6:F37" si="0">SUM(B6:E6)</f>
        <v>18680.333657908683</v>
      </c>
      <c r="K6" s="10"/>
      <c r="L6" s="7"/>
      <c r="M6" s="7"/>
      <c r="N6" s="7"/>
      <c r="O6" s="7"/>
      <c r="P6" s="7"/>
      <c r="Q6" s="7"/>
      <c r="R6" s="7"/>
      <c r="S6" s="7"/>
      <c r="T6" s="7"/>
      <c r="U6" s="17"/>
    </row>
    <row r="7" spans="1:21">
      <c r="A7" t="s">
        <v>1</v>
      </c>
      <c r="B7" s="10">
        <v>0</v>
      </c>
      <c r="C7" s="7">
        <v>97.126520412582664</v>
      </c>
      <c r="D7" s="7">
        <v>0</v>
      </c>
      <c r="E7" s="7">
        <v>0</v>
      </c>
      <c r="F7" s="17">
        <f t="shared" si="0"/>
        <v>97.126520412582664</v>
      </c>
      <c r="H7" s="22"/>
      <c r="I7" s="24"/>
      <c r="K7" s="10"/>
      <c r="L7" s="7"/>
      <c r="M7" s="7"/>
      <c r="N7" s="7"/>
      <c r="O7" s="7"/>
      <c r="P7" s="7"/>
      <c r="Q7" s="7"/>
      <c r="R7" s="7"/>
      <c r="S7" s="7"/>
      <c r="T7" s="7"/>
      <c r="U7" s="17"/>
    </row>
    <row r="8" spans="1:21">
      <c r="A8" t="s">
        <v>2</v>
      </c>
      <c r="B8" s="10">
        <v>0</v>
      </c>
      <c r="C8" s="7">
        <v>68326.00384941652</v>
      </c>
      <c r="D8" s="7">
        <v>0</v>
      </c>
      <c r="E8" s="7">
        <v>0</v>
      </c>
      <c r="F8" s="17">
        <f t="shared" si="0"/>
        <v>68326.00384941652</v>
      </c>
      <c r="H8" s="4" t="s">
        <v>64</v>
      </c>
      <c r="I8" s="13"/>
      <c r="K8" s="10"/>
      <c r="L8" s="7"/>
      <c r="M8" s="7"/>
      <c r="N8" s="7"/>
      <c r="O8" s="7"/>
      <c r="P8" s="7"/>
      <c r="Q8" s="7"/>
      <c r="R8" s="7"/>
      <c r="S8" s="7"/>
      <c r="T8" s="7"/>
      <c r="U8" s="17"/>
    </row>
    <row r="9" spans="1:21">
      <c r="A9" t="s">
        <v>3</v>
      </c>
      <c r="B9" s="10">
        <v>0</v>
      </c>
      <c r="C9" s="7">
        <v>7512.7864191299759</v>
      </c>
      <c r="D9" s="7">
        <v>0</v>
      </c>
      <c r="E9" s="7">
        <v>0</v>
      </c>
      <c r="F9" s="17">
        <f t="shared" si="0"/>
        <v>7512.7864191299759</v>
      </c>
      <c r="H9" s="4"/>
      <c r="I9" s="13"/>
      <c r="K9" s="10"/>
      <c r="L9" s="7"/>
      <c r="M9" s="7"/>
      <c r="N9" s="7"/>
      <c r="O9" s="7"/>
      <c r="P9" s="7"/>
      <c r="Q9" s="7"/>
      <c r="R9" s="7"/>
      <c r="S9" s="7"/>
      <c r="T9" s="7"/>
      <c r="U9" s="17"/>
    </row>
    <row r="10" spans="1:21">
      <c r="A10" t="s">
        <v>4</v>
      </c>
      <c r="B10" s="10">
        <v>0</v>
      </c>
      <c r="C10" s="7">
        <v>515287.23122310964</v>
      </c>
      <c r="D10" s="7">
        <v>0</v>
      </c>
      <c r="E10" s="7">
        <v>0</v>
      </c>
      <c r="F10" s="17">
        <f t="shared" si="0"/>
        <v>515287.23122310964</v>
      </c>
      <c r="H10" s="4" t="s">
        <v>65</v>
      </c>
      <c r="I10" s="14">
        <v>1173666777</v>
      </c>
      <c r="K10" s="10"/>
      <c r="L10" s="7"/>
      <c r="M10" s="7"/>
      <c r="N10" s="7"/>
      <c r="O10" s="7"/>
      <c r="P10" s="7"/>
      <c r="Q10" s="7"/>
      <c r="R10" s="7"/>
      <c r="S10" s="7"/>
      <c r="T10" s="7"/>
      <c r="U10" s="17"/>
    </row>
    <row r="11" spans="1:21">
      <c r="A11" t="s">
        <v>5</v>
      </c>
      <c r="B11" s="10">
        <v>0</v>
      </c>
      <c r="C11" s="7">
        <v>18106.586274440539</v>
      </c>
      <c r="D11" s="7">
        <v>0</v>
      </c>
      <c r="E11" s="7">
        <v>0</v>
      </c>
      <c r="F11" s="17">
        <f t="shared" si="0"/>
        <v>18106.586274440539</v>
      </c>
      <c r="H11" s="4"/>
      <c r="I11" s="14"/>
      <c r="K11" s="10">
        <v>0</v>
      </c>
      <c r="L11" s="7">
        <v>0</v>
      </c>
      <c r="M11" s="7"/>
      <c r="N11" s="7">
        <v>40000</v>
      </c>
      <c r="O11" s="7">
        <v>0</v>
      </c>
      <c r="P11" s="7"/>
      <c r="Q11" s="7">
        <v>0</v>
      </c>
      <c r="R11" s="7">
        <v>0</v>
      </c>
      <c r="S11" s="7"/>
      <c r="T11" s="7">
        <v>0</v>
      </c>
      <c r="U11" s="17">
        <v>0</v>
      </c>
    </row>
    <row r="12" spans="1:21">
      <c r="A12" t="s">
        <v>6</v>
      </c>
      <c r="B12" s="10">
        <v>0</v>
      </c>
      <c r="C12" s="7">
        <v>50392.643224783998</v>
      </c>
      <c r="D12" s="7">
        <v>0</v>
      </c>
      <c r="E12" s="7">
        <v>0</v>
      </c>
      <c r="F12" s="17">
        <f t="shared" si="0"/>
        <v>50392.643224783998</v>
      </c>
      <c r="H12" s="4" t="s">
        <v>66</v>
      </c>
      <c r="I12" s="14"/>
      <c r="K12" s="10"/>
      <c r="L12" s="7"/>
      <c r="M12" s="7"/>
      <c r="N12" s="7"/>
      <c r="O12" s="7"/>
      <c r="P12" s="7"/>
      <c r="Q12" s="7"/>
      <c r="R12" s="7"/>
      <c r="S12" s="7"/>
      <c r="T12" s="7"/>
      <c r="U12" s="17"/>
    </row>
    <row r="13" spans="1:21">
      <c r="A13" t="s">
        <v>7</v>
      </c>
      <c r="B13" s="10">
        <v>0</v>
      </c>
      <c r="C13" s="7">
        <v>279.36390922794396</v>
      </c>
      <c r="D13" s="7">
        <v>0</v>
      </c>
      <c r="E13" s="7">
        <v>0</v>
      </c>
      <c r="F13" s="17">
        <f t="shared" si="0"/>
        <v>279.36390922794396</v>
      </c>
      <c r="H13" s="4" t="s">
        <v>67</v>
      </c>
      <c r="I13" s="14">
        <v>0</v>
      </c>
      <c r="K13" s="10"/>
      <c r="L13" s="7"/>
      <c r="M13" s="7"/>
      <c r="N13" s="7"/>
      <c r="O13" s="7"/>
      <c r="P13" s="7"/>
      <c r="Q13" s="7"/>
      <c r="R13" s="7"/>
      <c r="S13" s="7"/>
      <c r="T13" s="7"/>
      <c r="U13" s="17"/>
    </row>
    <row r="14" spans="1:21">
      <c r="A14" t="s">
        <v>8</v>
      </c>
      <c r="B14" s="10">
        <v>0</v>
      </c>
      <c r="C14" s="7">
        <v>619.80738283905839</v>
      </c>
      <c r="D14" s="7">
        <v>0</v>
      </c>
      <c r="E14" s="7">
        <v>0</v>
      </c>
      <c r="F14" s="17">
        <f t="shared" si="0"/>
        <v>619.80738283905839</v>
      </c>
      <c r="H14" s="4" t="s">
        <v>68</v>
      </c>
      <c r="I14" s="14">
        <v>0</v>
      </c>
      <c r="K14" s="10"/>
      <c r="L14" s="7"/>
      <c r="M14" s="7"/>
      <c r="N14" s="7"/>
      <c r="O14" s="7"/>
      <c r="P14" s="7"/>
      <c r="Q14" s="7"/>
      <c r="R14" s="7"/>
      <c r="S14" s="7"/>
      <c r="T14" s="7"/>
      <c r="U14" s="17"/>
    </row>
    <row r="15" spans="1:21">
      <c r="A15" t="s">
        <v>9</v>
      </c>
      <c r="B15" s="10">
        <v>0</v>
      </c>
      <c r="C15" s="7">
        <v>262492.93250184489</v>
      </c>
      <c r="D15" s="7">
        <v>0</v>
      </c>
      <c r="E15" s="7">
        <v>0</v>
      </c>
      <c r="F15" s="17">
        <f t="shared" si="0"/>
        <v>262492.93250184489</v>
      </c>
      <c r="H15" s="4" t="s">
        <v>69</v>
      </c>
      <c r="I15" s="14">
        <v>2896866.5600000005</v>
      </c>
      <c r="K15" s="10"/>
      <c r="L15" s="7"/>
      <c r="M15" s="7"/>
      <c r="N15" s="7"/>
      <c r="O15" s="7"/>
      <c r="P15" s="7"/>
      <c r="Q15" s="7"/>
      <c r="R15" s="7"/>
      <c r="S15" s="7"/>
      <c r="T15" s="7"/>
      <c r="U15" s="17"/>
    </row>
    <row r="16" spans="1:21">
      <c r="A16" t="s">
        <v>10</v>
      </c>
      <c r="B16" s="10">
        <v>0</v>
      </c>
      <c r="C16" s="7">
        <v>56634.774443877199</v>
      </c>
      <c r="D16" s="7">
        <v>0</v>
      </c>
      <c r="E16" s="7">
        <v>0</v>
      </c>
      <c r="F16" s="17">
        <f t="shared" si="0"/>
        <v>56634.774443877199</v>
      </c>
      <c r="H16" s="4" t="s">
        <v>70</v>
      </c>
      <c r="I16" s="14">
        <v>0</v>
      </c>
      <c r="K16" s="10"/>
      <c r="L16" s="7"/>
      <c r="M16" s="7"/>
      <c r="N16" s="7"/>
      <c r="O16" s="7"/>
      <c r="P16" s="7"/>
      <c r="Q16" s="7"/>
      <c r="R16" s="7"/>
      <c r="S16" s="7"/>
      <c r="T16" s="7"/>
      <c r="U16" s="17"/>
    </row>
    <row r="17" spans="1:21">
      <c r="A17" t="s">
        <v>11</v>
      </c>
      <c r="B17" s="10">
        <v>0</v>
      </c>
      <c r="C17" s="7">
        <v>54679.227079281591</v>
      </c>
      <c r="D17" s="7">
        <v>0</v>
      </c>
      <c r="E17" s="7">
        <v>0</v>
      </c>
      <c r="F17" s="17">
        <f t="shared" si="0"/>
        <v>54679.227079281591</v>
      </c>
      <c r="H17" s="4"/>
      <c r="I17" s="14"/>
      <c r="K17" s="10"/>
      <c r="L17" s="7"/>
      <c r="M17" s="7"/>
      <c r="N17" s="7"/>
      <c r="O17" s="7"/>
      <c r="P17" s="7"/>
      <c r="Q17" s="7"/>
      <c r="R17" s="7"/>
      <c r="S17" s="7"/>
      <c r="T17" s="7"/>
      <c r="U17" s="17"/>
    </row>
    <row r="18" spans="1:21">
      <c r="A18" t="s">
        <v>12</v>
      </c>
      <c r="B18" s="10">
        <v>0</v>
      </c>
      <c r="C18" s="7">
        <v>3743.8769053881092</v>
      </c>
      <c r="D18" s="7">
        <v>0</v>
      </c>
      <c r="E18" s="7">
        <v>0</v>
      </c>
      <c r="F18" s="17">
        <f t="shared" si="0"/>
        <v>3743.8769053881092</v>
      </c>
      <c r="H18" s="4" t="s">
        <v>71</v>
      </c>
      <c r="I18" s="14"/>
      <c r="K18" s="10"/>
      <c r="L18" s="7"/>
      <c r="M18" s="7"/>
      <c r="N18" s="7"/>
      <c r="O18" s="7"/>
      <c r="P18" s="7"/>
      <c r="Q18" s="7"/>
      <c r="R18" s="7"/>
      <c r="S18" s="7"/>
      <c r="T18" s="7"/>
      <c r="U18" s="17"/>
    </row>
    <row r="19" spans="1:21">
      <c r="A19" t="s">
        <v>13</v>
      </c>
      <c r="B19" s="10">
        <v>0</v>
      </c>
      <c r="C19" s="7">
        <v>105438.34769036459</v>
      </c>
      <c r="D19" s="7">
        <v>0</v>
      </c>
      <c r="E19" s="7">
        <v>0</v>
      </c>
      <c r="F19" s="17">
        <f t="shared" si="0"/>
        <v>105438.34769036459</v>
      </c>
      <c r="H19" s="4" t="s">
        <v>72</v>
      </c>
      <c r="I19" s="14">
        <v>0</v>
      </c>
      <c r="K19" s="10"/>
      <c r="L19" s="7"/>
      <c r="M19" s="7"/>
      <c r="N19" s="7"/>
      <c r="O19" s="7"/>
      <c r="P19" s="7"/>
      <c r="Q19" s="7"/>
      <c r="R19" s="7"/>
      <c r="S19" s="7"/>
      <c r="T19" s="7"/>
      <c r="U19" s="17"/>
    </row>
    <row r="20" spans="1:21">
      <c r="A20" t="s">
        <v>14</v>
      </c>
      <c r="B20" s="10">
        <v>0</v>
      </c>
      <c r="C20" s="7">
        <v>268469.71807238832</v>
      </c>
      <c r="D20" s="7">
        <v>0</v>
      </c>
      <c r="E20" s="7">
        <v>0</v>
      </c>
      <c r="F20" s="17">
        <f t="shared" si="0"/>
        <v>268469.71807238832</v>
      </c>
      <c r="H20" s="4" t="s">
        <v>73</v>
      </c>
      <c r="I20" s="14">
        <v>1173666777</v>
      </c>
      <c r="K20" s="10"/>
      <c r="L20" s="7"/>
      <c r="M20" s="7"/>
      <c r="N20" s="7"/>
      <c r="O20" s="7"/>
      <c r="P20" s="7"/>
      <c r="Q20" s="7"/>
      <c r="R20" s="7"/>
      <c r="S20" s="7"/>
      <c r="T20" s="7"/>
      <c r="U20" s="17"/>
    </row>
    <row r="21" spans="1:21">
      <c r="A21" t="s">
        <v>15</v>
      </c>
      <c r="B21" s="10">
        <v>0</v>
      </c>
      <c r="C21" s="7">
        <v>13980.211113407002</v>
      </c>
      <c r="D21" s="7">
        <v>0</v>
      </c>
      <c r="E21" s="7">
        <v>0</v>
      </c>
      <c r="F21" s="17">
        <f t="shared" si="0"/>
        <v>13980.211113407002</v>
      </c>
      <c r="H21" s="4" t="s">
        <v>74</v>
      </c>
      <c r="I21" s="14"/>
      <c r="K21" s="10"/>
      <c r="L21" s="7"/>
      <c r="M21" s="7"/>
      <c r="N21" s="7"/>
      <c r="O21" s="7"/>
      <c r="P21" s="7"/>
      <c r="Q21" s="7"/>
      <c r="R21" s="7"/>
      <c r="S21" s="7"/>
      <c r="T21" s="7"/>
      <c r="U21" s="17"/>
    </row>
    <row r="22" spans="1:21">
      <c r="A22" t="s">
        <v>16</v>
      </c>
      <c r="B22" s="10">
        <v>0</v>
      </c>
      <c r="C22" s="7">
        <v>15685.432394465024</v>
      </c>
      <c r="D22" s="7">
        <v>0</v>
      </c>
      <c r="E22" s="7">
        <v>0</v>
      </c>
      <c r="F22" s="17">
        <f t="shared" si="0"/>
        <v>15685.432394465024</v>
      </c>
      <c r="H22" s="4" t="s">
        <v>75</v>
      </c>
      <c r="I22" s="14">
        <v>0</v>
      </c>
      <c r="K22" s="10"/>
      <c r="L22" s="7"/>
      <c r="M22" s="7"/>
      <c r="N22" s="7"/>
      <c r="O22" s="7"/>
      <c r="P22" s="7"/>
      <c r="Q22" s="7"/>
      <c r="R22" s="7"/>
      <c r="S22" s="7"/>
      <c r="T22" s="7"/>
      <c r="U22" s="17"/>
    </row>
    <row r="23" spans="1:21">
      <c r="A23" t="s">
        <v>17</v>
      </c>
      <c r="B23" s="10">
        <v>0</v>
      </c>
      <c r="C23" s="7">
        <v>15600.321526062246</v>
      </c>
      <c r="D23" s="7">
        <v>0</v>
      </c>
      <c r="E23" s="7">
        <v>0</v>
      </c>
      <c r="F23" s="17">
        <f t="shared" si="0"/>
        <v>15600.321526062246</v>
      </c>
      <c r="H23" s="4" t="s">
        <v>76</v>
      </c>
      <c r="I23" s="14"/>
      <c r="K23" s="10"/>
      <c r="L23" s="7"/>
      <c r="M23" s="7"/>
      <c r="N23" s="7"/>
      <c r="O23" s="7"/>
      <c r="P23" s="7"/>
      <c r="Q23" s="7"/>
      <c r="R23" s="7"/>
      <c r="S23" s="7"/>
      <c r="T23" s="7"/>
      <c r="U23" s="17"/>
    </row>
    <row r="24" spans="1:21">
      <c r="A24" t="s">
        <v>18</v>
      </c>
      <c r="B24" s="10">
        <v>0</v>
      </c>
      <c r="C24" s="7">
        <v>13164.148081074476</v>
      </c>
      <c r="D24" s="7">
        <v>0</v>
      </c>
      <c r="E24" s="7">
        <v>0</v>
      </c>
      <c r="F24" s="17">
        <f t="shared" si="0"/>
        <v>13164.148081074476</v>
      </c>
      <c r="H24" s="4" t="s">
        <v>77</v>
      </c>
      <c r="I24" s="14">
        <v>0</v>
      </c>
      <c r="K24" s="10"/>
      <c r="L24" s="7"/>
      <c r="M24" s="7"/>
      <c r="N24" s="7"/>
      <c r="O24" s="7"/>
      <c r="P24" s="7"/>
      <c r="Q24" s="7"/>
      <c r="R24" s="7"/>
      <c r="S24" s="7"/>
      <c r="T24" s="7"/>
      <c r="U24" s="17"/>
    </row>
    <row r="25" spans="1:21">
      <c r="A25" t="s">
        <v>19</v>
      </c>
      <c r="B25" s="10">
        <v>0</v>
      </c>
      <c r="C25" s="7">
        <v>5352.9729703677003</v>
      </c>
      <c r="D25" s="7">
        <v>0</v>
      </c>
      <c r="E25" s="7">
        <v>0</v>
      </c>
      <c r="F25" s="17">
        <f t="shared" si="0"/>
        <v>5352.9729703677003</v>
      </c>
      <c r="H25" s="4"/>
      <c r="I25" s="14"/>
      <c r="K25" s="10"/>
      <c r="L25" s="7"/>
      <c r="M25" s="7"/>
      <c r="N25" s="7"/>
      <c r="O25" s="7"/>
      <c r="P25" s="7"/>
      <c r="Q25" s="7"/>
      <c r="R25" s="7"/>
      <c r="S25" s="7"/>
      <c r="T25" s="7"/>
      <c r="U25" s="17"/>
    </row>
    <row r="26" spans="1:21">
      <c r="A26" t="s">
        <v>20</v>
      </c>
      <c r="B26" s="10">
        <v>0</v>
      </c>
      <c r="C26" s="7">
        <v>20764.047977275532</v>
      </c>
      <c r="D26" s="7">
        <v>0</v>
      </c>
      <c r="E26" s="7">
        <v>0</v>
      </c>
      <c r="F26" s="17">
        <f t="shared" si="0"/>
        <v>20764.047977275532</v>
      </c>
      <c r="H26" s="4" t="s">
        <v>78</v>
      </c>
      <c r="I26" s="14">
        <f>SUM(I10:I16)-SUM(I19:I24)</f>
        <v>2896866.5599999428</v>
      </c>
      <c r="K26" s="10"/>
      <c r="L26" s="7"/>
      <c r="M26" s="7"/>
      <c r="N26" s="7"/>
      <c r="O26" s="7"/>
      <c r="P26" s="7"/>
      <c r="Q26" s="7"/>
      <c r="R26" s="7"/>
      <c r="S26" s="7"/>
      <c r="T26" s="7"/>
      <c r="U26" s="17"/>
    </row>
    <row r="27" spans="1:21">
      <c r="A27" t="s">
        <v>21</v>
      </c>
      <c r="B27" s="10">
        <v>0</v>
      </c>
      <c r="C27" s="7">
        <v>28995.770908325449</v>
      </c>
      <c r="D27" s="7">
        <v>0</v>
      </c>
      <c r="E27" s="7">
        <v>0</v>
      </c>
      <c r="F27" s="17">
        <f t="shared" si="0"/>
        <v>28995.770908325449</v>
      </c>
      <c r="H27" s="4" t="s">
        <v>79</v>
      </c>
      <c r="I27" s="14">
        <f>+F60</f>
        <v>2896866.560000001</v>
      </c>
      <c r="K27" s="10"/>
      <c r="L27" s="7"/>
      <c r="M27" s="7"/>
      <c r="N27" s="7"/>
      <c r="O27" s="7"/>
      <c r="P27" s="7"/>
      <c r="Q27" s="7"/>
      <c r="R27" s="7"/>
      <c r="S27" s="7"/>
      <c r="T27" s="7"/>
      <c r="U27" s="17"/>
    </row>
    <row r="28" spans="1:21">
      <c r="A28" t="s">
        <v>22</v>
      </c>
      <c r="B28" s="10">
        <v>0</v>
      </c>
      <c r="C28" s="7">
        <v>358440.91771313263</v>
      </c>
      <c r="D28" s="7">
        <v>0</v>
      </c>
      <c r="E28" s="7">
        <v>0</v>
      </c>
      <c r="F28" s="17">
        <f t="shared" si="0"/>
        <v>358440.91771313263</v>
      </c>
      <c r="H28" s="23"/>
      <c r="I28" s="25"/>
      <c r="K28" s="10"/>
      <c r="L28" s="7"/>
      <c r="M28" s="7"/>
      <c r="N28" s="7"/>
      <c r="O28" s="7"/>
      <c r="P28" s="7"/>
      <c r="Q28" s="7"/>
      <c r="R28" s="7"/>
      <c r="S28" s="7"/>
      <c r="T28" s="7"/>
      <c r="U28" s="17"/>
    </row>
    <row r="29" spans="1:21">
      <c r="A29" t="s">
        <v>23</v>
      </c>
      <c r="B29" s="10">
        <v>0</v>
      </c>
      <c r="C29" s="7">
        <v>33039.037809624511</v>
      </c>
      <c r="D29" s="7">
        <v>0</v>
      </c>
      <c r="E29" s="7">
        <v>0</v>
      </c>
      <c r="F29" s="17">
        <f t="shared" si="0"/>
        <v>33039.037809624511</v>
      </c>
      <c r="K29" s="10"/>
      <c r="L29" s="7"/>
      <c r="M29" s="7"/>
      <c r="N29" s="7"/>
      <c r="O29" s="7"/>
      <c r="P29" s="7"/>
      <c r="Q29" s="7"/>
      <c r="R29" s="7"/>
      <c r="S29" s="7"/>
      <c r="T29" s="7"/>
      <c r="U29" s="17"/>
    </row>
    <row r="30" spans="1:21">
      <c r="A30" t="s">
        <v>24</v>
      </c>
      <c r="B30" s="10">
        <v>0</v>
      </c>
      <c r="C30" s="7">
        <v>11733.284187573645</v>
      </c>
      <c r="D30" s="7">
        <v>0</v>
      </c>
      <c r="E30" s="7">
        <v>0</v>
      </c>
      <c r="F30" s="17">
        <f t="shared" si="0"/>
        <v>11733.284187573645</v>
      </c>
      <c r="K30" s="10"/>
      <c r="L30" s="7"/>
      <c r="M30" s="7"/>
      <c r="N30" s="7"/>
      <c r="O30" s="7"/>
      <c r="P30" s="7"/>
      <c r="Q30" s="7"/>
      <c r="R30" s="7"/>
      <c r="S30" s="7"/>
      <c r="T30" s="7"/>
      <c r="U30" s="17"/>
    </row>
    <row r="31" spans="1:21">
      <c r="A31" t="s">
        <v>25</v>
      </c>
      <c r="B31" s="10">
        <v>0</v>
      </c>
      <c r="C31" s="7">
        <v>22044.716220653812</v>
      </c>
      <c r="D31" s="7">
        <v>0</v>
      </c>
      <c r="E31" s="7">
        <v>0</v>
      </c>
      <c r="F31" s="17">
        <f t="shared" si="0"/>
        <v>22044.716220653812</v>
      </c>
      <c r="K31" s="10"/>
      <c r="L31" s="7"/>
      <c r="M31" s="7"/>
      <c r="N31" s="7"/>
      <c r="O31" s="7"/>
      <c r="P31" s="7"/>
      <c r="Q31" s="7"/>
      <c r="R31" s="7"/>
      <c r="S31" s="7"/>
      <c r="T31" s="7"/>
      <c r="U31" s="17"/>
    </row>
    <row r="32" spans="1:21">
      <c r="A32" t="s">
        <v>26</v>
      </c>
      <c r="B32" s="10">
        <v>0</v>
      </c>
      <c r="C32" s="7">
        <v>7172.3429455188616</v>
      </c>
      <c r="D32" s="7">
        <v>0</v>
      </c>
      <c r="E32" s="7">
        <v>0</v>
      </c>
      <c r="F32" s="17">
        <f t="shared" si="0"/>
        <v>7172.3429455188616</v>
      </c>
      <c r="K32" s="10"/>
      <c r="L32" s="7"/>
      <c r="M32" s="7"/>
      <c r="N32" s="7"/>
      <c r="O32" s="7"/>
      <c r="P32" s="7"/>
      <c r="Q32" s="7"/>
      <c r="R32" s="7"/>
      <c r="S32" s="7"/>
      <c r="T32" s="7"/>
      <c r="U32" s="17"/>
    </row>
    <row r="33" spans="1:21">
      <c r="A33" t="s">
        <v>27</v>
      </c>
      <c r="B33" s="10">
        <v>0</v>
      </c>
      <c r="C33" s="7">
        <v>4332.643853868507</v>
      </c>
      <c r="D33" s="7">
        <v>0</v>
      </c>
      <c r="E33" s="7">
        <v>0</v>
      </c>
      <c r="F33" s="17">
        <f t="shared" si="0"/>
        <v>4332.643853868507</v>
      </c>
      <c r="K33" s="10"/>
      <c r="L33" s="7"/>
      <c r="M33" s="7"/>
      <c r="N33" s="7"/>
      <c r="O33" s="7"/>
      <c r="P33" s="7"/>
      <c r="Q33" s="7"/>
      <c r="R33" s="7"/>
      <c r="S33" s="7"/>
      <c r="T33" s="7"/>
      <c r="U33" s="17"/>
    </row>
    <row r="34" spans="1:21">
      <c r="A34" t="s">
        <v>28</v>
      </c>
      <c r="B34" s="10">
        <v>0</v>
      </c>
      <c r="C34" s="7">
        <v>10982.305936960893</v>
      </c>
      <c r="D34" s="7">
        <v>0</v>
      </c>
      <c r="E34" s="7">
        <v>0</v>
      </c>
      <c r="F34" s="17">
        <f t="shared" si="0"/>
        <v>10982.305936960893</v>
      </c>
      <c r="K34" s="10"/>
      <c r="L34" s="7"/>
      <c r="M34" s="7"/>
      <c r="N34" s="7"/>
      <c r="O34" s="7"/>
      <c r="P34" s="7"/>
      <c r="Q34" s="7"/>
      <c r="R34" s="7"/>
      <c r="S34" s="7"/>
      <c r="T34" s="7"/>
      <c r="U34" s="17"/>
    </row>
    <row r="35" spans="1:21">
      <c r="A35" t="s">
        <v>29</v>
      </c>
      <c r="B35" s="10">
        <v>0</v>
      </c>
      <c r="C35" s="7">
        <v>247.32217053513315</v>
      </c>
      <c r="D35" s="7">
        <v>0</v>
      </c>
      <c r="E35" s="7">
        <v>0</v>
      </c>
      <c r="F35" s="17">
        <f t="shared" si="0"/>
        <v>247.32217053513315</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4786.2347172386089</v>
      </c>
      <c r="D37" s="7">
        <v>0</v>
      </c>
      <c r="E37" s="7">
        <v>0</v>
      </c>
      <c r="F37" s="17">
        <f t="shared" si="0"/>
        <v>4786.2347172386089</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144363.0523761248</v>
      </c>
      <c r="D39" s="7">
        <v>0</v>
      </c>
      <c r="E39" s="7">
        <v>0</v>
      </c>
      <c r="F39" s="17">
        <f t="shared" si="1"/>
        <v>144363.0523761248</v>
      </c>
      <c r="K39" s="10"/>
      <c r="L39" s="7"/>
      <c r="M39" s="7"/>
      <c r="N39" s="7"/>
      <c r="O39" s="7"/>
      <c r="P39" s="7"/>
      <c r="Q39" s="7"/>
      <c r="R39" s="7"/>
      <c r="S39" s="7"/>
      <c r="T39" s="7"/>
      <c r="U39" s="17"/>
    </row>
    <row r="40" spans="1:21">
      <c r="A40" t="s">
        <v>34</v>
      </c>
      <c r="B40" s="10">
        <v>0</v>
      </c>
      <c r="C40" s="7">
        <v>10979.302023958442</v>
      </c>
      <c r="D40" s="7">
        <v>0</v>
      </c>
      <c r="E40" s="7">
        <v>0</v>
      </c>
      <c r="F40" s="17">
        <f t="shared" si="1"/>
        <v>10979.302023958442</v>
      </c>
      <c r="K40" s="10"/>
      <c r="L40" s="7"/>
      <c r="M40" s="7"/>
      <c r="N40" s="7"/>
      <c r="O40" s="7"/>
      <c r="P40" s="7"/>
      <c r="Q40" s="7"/>
      <c r="R40" s="7"/>
      <c r="S40" s="7"/>
      <c r="T40" s="7"/>
      <c r="U40" s="17"/>
    </row>
    <row r="41" spans="1:21">
      <c r="A41" t="s">
        <v>35</v>
      </c>
      <c r="B41" s="10">
        <v>0</v>
      </c>
      <c r="C41" s="7">
        <v>243878.68492999018</v>
      </c>
      <c r="D41" s="7">
        <v>0</v>
      </c>
      <c r="E41" s="7">
        <v>0</v>
      </c>
      <c r="F41" s="17">
        <f t="shared" si="1"/>
        <v>243878.68492999018</v>
      </c>
      <c r="K41" s="10"/>
      <c r="L41" s="7"/>
      <c r="M41" s="7"/>
      <c r="N41" s="7"/>
      <c r="O41" s="7"/>
      <c r="P41" s="7"/>
      <c r="Q41" s="7"/>
      <c r="R41" s="7"/>
      <c r="S41" s="7"/>
      <c r="T41" s="7"/>
      <c r="U41" s="17"/>
    </row>
    <row r="42" spans="1:21">
      <c r="A42" t="s">
        <v>36</v>
      </c>
      <c r="B42" s="10">
        <v>0</v>
      </c>
      <c r="C42" s="7">
        <v>5870.6473111234245</v>
      </c>
      <c r="D42" s="7">
        <v>0</v>
      </c>
      <c r="E42" s="7">
        <v>0</v>
      </c>
      <c r="F42" s="17">
        <f t="shared" si="1"/>
        <v>5870.6473111234245</v>
      </c>
      <c r="K42" s="10"/>
      <c r="L42" s="7"/>
      <c r="M42" s="7"/>
      <c r="N42" s="7"/>
      <c r="O42" s="7"/>
      <c r="P42" s="7"/>
      <c r="Q42" s="7"/>
      <c r="R42" s="7"/>
      <c r="S42" s="7"/>
      <c r="T42" s="7"/>
      <c r="U42" s="17"/>
    </row>
    <row r="43" spans="1:21">
      <c r="A43" t="s">
        <v>37</v>
      </c>
      <c r="B43" s="10">
        <v>0</v>
      </c>
      <c r="C43" s="7">
        <v>1427.8599804983801</v>
      </c>
      <c r="D43" s="7">
        <v>0</v>
      </c>
      <c r="E43" s="7">
        <v>0</v>
      </c>
      <c r="F43" s="17">
        <f t="shared" si="1"/>
        <v>1427.8599804983801</v>
      </c>
      <c r="K43" s="10"/>
      <c r="L43" s="7"/>
      <c r="M43" s="7"/>
      <c r="N43" s="7"/>
      <c r="O43" s="7"/>
      <c r="P43" s="7"/>
      <c r="Q43" s="7"/>
      <c r="R43" s="7"/>
      <c r="S43" s="7"/>
      <c r="T43" s="7"/>
      <c r="U43" s="17"/>
    </row>
    <row r="44" spans="1:21">
      <c r="A44" t="s">
        <v>38</v>
      </c>
      <c r="B44" s="10">
        <v>0</v>
      </c>
      <c r="C44" s="7">
        <v>20084.162334387453</v>
      </c>
      <c r="D44" s="7">
        <v>0</v>
      </c>
      <c r="E44" s="7">
        <v>0</v>
      </c>
      <c r="F44" s="17">
        <f t="shared" si="1"/>
        <v>20084.162334387453</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1880.4495395343324</v>
      </c>
      <c r="D46" s="7">
        <v>0</v>
      </c>
      <c r="E46" s="7">
        <v>0</v>
      </c>
      <c r="F46" s="17">
        <f t="shared" si="1"/>
        <v>1880.4495395343324</v>
      </c>
      <c r="K46" s="10"/>
      <c r="L46" s="7"/>
      <c r="M46" s="7"/>
      <c r="N46" s="7"/>
      <c r="O46" s="7"/>
      <c r="P46" s="7"/>
      <c r="Q46" s="7"/>
      <c r="R46" s="7"/>
      <c r="S46" s="7"/>
      <c r="T46" s="7"/>
      <c r="U46" s="17"/>
    </row>
    <row r="47" spans="1:21">
      <c r="A47" t="s">
        <v>41</v>
      </c>
      <c r="B47" s="10">
        <v>0</v>
      </c>
      <c r="C47" s="7">
        <v>31754.364348909628</v>
      </c>
      <c r="D47" s="7">
        <v>0</v>
      </c>
      <c r="E47" s="7">
        <v>0</v>
      </c>
      <c r="F47" s="17">
        <f t="shared" si="1"/>
        <v>31754.364348909628</v>
      </c>
      <c r="K47" s="10"/>
      <c r="L47" s="7"/>
      <c r="M47" s="7"/>
      <c r="N47" s="7"/>
      <c r="O47" s="7"/>
      <c r="P47" s="7"/>
      <c r="Q47" s="7"/>
      <c r="R47" s="7"/>
      <c r="S47" s="7"/>
      <c r="T47" s="7"/>
      <c r="U47" s="17"/>
    </row>
    <row r="48" spans="1:21">
      <c r="A48" t="s">
        <v>42</v>
      </c>
      <c r="B48" s="10">
        <v>0</v>
      </c>
      <c r="C48" s="7">
        <v>3983.1886412500394</v>
      </c>
      <c r="D48" s="7">
        <v>0</v>
      </c>
      <c r="E48" s="7">
        <v>0</v>
      </c>
      <c r="F48" s="17">
        <f t="shared" si="1"/>
        <v>3983.1886412500394</v>
      </c>
      <c r="K48" s="10"/>
      <c r="L48" s="7"/>
      <c r="M48" s="7"/>
      <c r="N48" s="7"/>
      <c r="O48" s="7"/>
      <c r="P48" s="7"/>
      <c r="Q48" s="7"/>
      <c r="R48" s="7"/>
      <c r="S48" s="7"/>
      <c r="T48" s="7"/>
      <c r="U48" s="17"/>
    </row>
    <row r="49" spans="1:21">
      <c r="A49" t="s">
        <v>43</v>
      </c>
      <c r="B49" s="10">
        <v>0</v>
      </c>
      <c r="C49" s="7">
        <v>44952.556777345213</v>
      </c>
      <c r="D49" s="7">
        <v>0</v>
      </c>
      <c r="E49" s="7">
        <v>0</v>
      </c>
      <c r="F49" s="17">
        <f t="shared" si="1"/>
        <v>44952.556777345213</v>
      </c>
      <c r="K49" s="10"/>
      <c r="L49" s="7"/>
      <c r="M49" s="7"/>
      <c r="N49" s="7"/>
      <c r="O49" s="7"/>
      <c r="P49" s="7"/>
      <c r="Q49" s="7"/>
      <c r="R49" s="7"/>
      <c r="S49" s="7"/>
      <c r="T49" s="7"/>
      <c r="U49" s="17"/>
    </row>
    <row r="50" spans="1:21">
      <c r="A50" t="s">
        <v>44</v>
      </c>
      <c r="B50" s="10">
        <v>0</v>
      </c>
      <c r="C50" s="7">
        <v>194706.63168853542</v>
      </c>
      <c r="D50" s="7">
        <v>0</v>
      </c>
      <c r="E50" s="7">
        <v>0</v>
      </c>
      <c r="F50" s="17">
        <f t="shared" si="1"/>
        <v>194706.63168853542</v>
      </c>
      <c r="K50" s="10"/>
      <c r="L50" s="7"/>
      <c r="M50" s="7"/>
      <c r="N50" s="7"/>
      <c r="O50" s="7"/>
      <c r="P50" s="7"/>
      <c r="Q50" s="7"/>
      <c r="R50" s="7"/>
      <c r="S50" s="7"/>
      <c r="T50" s="7"/>
      <c r="U50" s="17"/>
    </row>
    <row r="51" spans="1:21">
      <c r="A51" t="s">
        <v>45</v>
      </c>
      <c r="B51" s="10">
        <v>0</v>
      </c>
      <c r="C51" s="7">
        <v>24327.690102516579</v>
      </c>
      <c r="D51" s="7">
        <v>0</v>
      </c>
      <c r="E51" s="7">
        <v>0</v>
      </c>
      <c r="F51" s="17">
        <f t="shared" si="1"/>
        <v>24327.690102516579</v>
      </c>
      <c r="K51" s="10"/>
      <c r="L51" s="7"/>
      <c r="M51" s="7"/>
      <c r="N51" s="7"/>
      <c r="O51" s="7"/>
      <c r="P51" s="7"/>
      <c r="Q51" s="7"/>
      <c r="R51" s="7"/>
      <c r="S51" s="7"/>
      <c r="T51" s="7"/>
      <c r="U51" s="17"/>
    </row>
    <row r="52" spans="1:21">
      <c r="A52" t="s">
        <v>46</v>
      </c>
      <c r="B52" s="10">
        <v>0</v>
      </c>
      <c r="C52" s="7">
        <v>356.46434295751982</v>
      </c>
      <c r="D52" s="7">
        <v>0</v>
      </c>
      <c r="E52" s="7">
        <v>0</v>
      </c>
      <c r="F52" s="17">
        <f t="shared" si="1"/>
        <v>356.46434295751982</v>
      </c>
      <c r="K52" s="10"/>
      <c r="L52" s="7"/>
      <c r="M52" s="7"/>
      <c r="N52" s="7"/>
      <c r="O52" s="7"/>
      <c r="P52" s="7"/>
      <c r="Q52" s="7"/>
      <c r="R52" s="7"/>
      <c r="S52" s="7"/>
      <c r="T52" s="7"/>
      <c r="U52" s="17"/>
    </row>
    <row r="53" spans="1:21">
      <c r="A53" t="s">
        <v>47</v>
      </c>
      <c r="B53" s="10">
        <v>0</v>
      </c>
      <c r="C53" s="7">
        <v>45208.890686887702</v>
      </c>
      <c r="D53" s="7">
        <v>0</v>
      </c>
      <c r="E53" s="7">
        <v>0</v>
      </c>
      <c r="F53" s="17">
        <f t="shared" si="1"/>
        <v>45208.890686887702</v>
      </c>
      <c r="K53" s="10"/>
      <c r="L53" s="7"/>
      <c r="M53" s="7"/>
      <c r="N53" s="7"/>
      <c r="O53" s="7"/>
      <c r="P53" s="7"/>
      <c r="Q53" s="7"/>
      <c r="R53" s="7"/>
      <c r="S53" s="7"/>
      <c r="T53" s="7"/>
      <c r="U53" s="17"/>
    </row>
    <row r="54" spans="1:21">
      <c r="A54" t="s">
        <v>48</v>
      </c>
      <c r="B54" s="10">
        <v>0</v>
      </c>
      <c r="C54" s="7">
        <v>7513.7877234641264</v>
      </c>
      <c r="D54" s="7">
        <v>0</v>
      </c>
      <c r="E54" s="7">
        <v>0</v>
      </c>
      <c r="F54" s="17">
        <f t="shared" si="1"/>
        <v>7513.7877234641264</v>
      </c>
      <c r="K54" s="10"/>
      <c r="L54" s="7"/>
      <c r="M54" s="7"/>
      <c r="N54" s="7"/>
      <c r="O54" s="7"/>
      <c r="P54" s="7"/>
      <c r="Q54" s="7"/>
      <c r="R54" s="7"/>
      <c r="S54" s="7"/>
      <c r="T54" s="7"/>
      <c r="U54" s="17"/>
    </row>
    <row r="55" spans="1:21">
      <c r="A55" t="s">
        <v>49</v>
      </c>
      <c r="B55" s="10">
        <v>0</v>
      </c>
      <c r="C55" s="7">
        <v>30064.162632863859</v>
      </c>
      <c r="D55" s="7">
        <v>0</v>
      </c>
      <c r="E55" s="7">
        <v>0</v>
      </c>
      <c r="F55" s="17">
        <f t="shared" si="1"/>
        <v>30064.162632863859</v>
      </c>
      <c r="K55" s="10"/>
      <c r="L55" s="7"/>
      <c r="M55" s="7"/>
      <c r="N55" s="7"/>
      <c r="O55" s="7"/>
      <c r="P55" s="7"/>
      <c r="Q55" s="7"/>
      <c r="R55" s="7"/>
      <c r="S55" s="7"/>
      <c r="T55" s="7"/>
      <c r="U55" s="17"/>
    </row>
    <row r="56" spans="1:21">
      <c r="A56" t="s">
        <v>50</v>
      </c>
      <c r="B56" s="10">
        <v>0</v>
      </c>
      <c r="C56" s="7">
        <v>86275.385343395465</v>
      </c>
      <c r="D56" s="7">
        <v>0</v>
      </c>
      <c r="E56" s="7">
        <v>0</v>
      </c>
      <c r="F56" s="17">
        <f t="shared" si="1"/>
        <v>86275.385343395465</v>
      </c>
      <c r="K56" s="10"/>
      <c r="L56" s="7"/>
      <c r="M56" s="7"/>
      <c r="N56" s="7"/>
      <c r="O56" s="7"/>
      <c r="P56" s="7"/>
      <c r="Q56" s="7"/>
      <c r="R56" s="7"/>
      <c r="S56" s="7"/>
      <c r="T56" s="7"/>
      <c r="U56" s="17"/>
    </row>
    <row r="57" spans="1:21">
      <c r="A57" t="s">
        <v>51</v>
      </c>
      <c r="B57" s="10">
        <v>0</v>
      </c>
      <c r="C57" s="7">
        <v>2156.8095357598254</v>
      </c>
      <c r="D57" s="7">
        <v>0</v>
      </c>
      <c r="E57" s="7">
        <v>0</v>
      </c>
      <c r="F57" s="17">
        <f t="shared" si="1"/>
        <v>2156.8095357598254</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2896866.560000001</v>
      </c>
      <c r="D60" s="7">
        <f>SUM(D6:D58)</f>
        <v>0</v>
      </c>
      <c r="E60" s="7">
        <f>SUM(E6:E58)</f>
        <v>0</v>
      </c>
      <c r="F60" s="17">
        <f>SUM(F6:F58)</f>
        <v>2896866.560000001</v>
      </c>
      <c r="K60" s="10">
        <f>SUM(K6:K58)</f>
        <v>0</v>
      </c>
      <c r="L60" s="7">
        <f>SUM(L6:L58)</f>
        <v>0</v>
      </c>
      <c r="M60" s="7"/>
      <c r="N60" s="7">
        <f>SUM(N6:N58)</f>
        <v>40000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Italic"Standard Life Insurance Company of Indiana&amp;R&amp;"Geneva,Bold"UNAUDITED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58038.749047899037</v>
      </c>
      <c r="E6" s="7">
        <v>0</v>
      </c>
      <c r="F6" s="17">
        <f t="shared" ref="F6:F37" si="0">SUM(B6:E6)</f>
        <v>58038.749047899037</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136704.89278677234</v>
      </c>
      <c r="E8" s="7">
        <v>0</v>
      </c>
      <c r="F8" s="17">
        <f t="shared" si="0"/>
        <v>136704.89278677234</v>
      </c>
      <c r="H8" s="4" t="s">
        <v>64</v>
      </c>
      <c r="I8" s="13"/>
      <c r="K8" s="10"/>
      <c r="L8" s="7"/>
      <c r="M8" s="7"/>
      <c r="N8" s="7"/>
      <c r="O8" s="7"/>
      <c r="P8" s="7"/>
      <c r="Q8" s="7"/>
      <c r="R8" s="7"/>
      <c r="S8" s="7"/>
      <c r="T8" s="7"/>
      <c r="U8" s="17"/>
    </row>
    <row r="9" spans="1:21">
      <c r="A9" t="s">
        <v>3</v>
      </c>
      <c r="B9" s="10">
        <v>0</v>
      </c>
      <c r="C9" s="7">
        <v>0</v>
      </c>
      <c r="D9" s="7">
        <v>96473.249693747697</v>
      </c>
      <c r="E9" s="7">
        <v>0</v>
      </c>
      <c r="F9" s="17">
        <f t="shared" si="0"/>
        <v>96473.249693747697</v>
      </c>
      <c r="H9" s="4"/>
      <c r="I9" s="13"/>
      <c r="K9" s="10">
        <v>0</v>
      </c>
      <c r="L9" s="7">
        <v>0</v>
      </c>
      <c r="M9" s="7"/>
      <c r="N9" s="7">
        <v>0</v>
      </c>
      <c r="O9" s="7">
        <v>0</v>
      </c>
      <c r="P9" s="7"/>
      <c r="Q9" s="7">
        <v>70294</v>
      </c>
      <c r="R9" s="7">
        <v>0</v>
      </c>
      <c r="S9" s="7"/>
      <c r="T9" s="7">
        <v>0</v>
      </c>
      <c r="U9" s="17">
        <v>0</v>
      </c>
    </row>
    <row r="10" spans="1:21">
      <c r="A10" t="s">
        <v>4</v>
      </c>
      <c r="B10" s="10">
        <v>0</v>
      </c>
      <c r="C10" s="7">
        <v>0</v>
      </c>
      <c r="D10" s="7">
        <v>0</v>
      </c>
      <c r="E10" s="7">
        <v>0</v>
      </c>
      <c r="F10" s="17">
        <f t="shared" si="0"/>
        <v>0</v>
      </c>
      <c r="H10" s="4" t="s">
        <v>65</v>
      </c>
      <c r="I10" s="14">
        <v>2552388</v>
      </c>
      <c r="K10" s="10"/>
      <c r="L10" s="7"/>
      <c r="M10" s="7"/>
      <c r="N10" s="7"/>
      <c r="O10" s="7"/>
      <c r="P10" s="7"/>
      <c r="Q10" s="7"/>
      <c r="R10" s="7"/>
      <c r="S10" s="7"/>
      <c r="T10" s="7"/>
      <c r="U10" s="17"/>
    </row>
    <row r="11" spans="1:21">
      <c r="A11" t="s">
        <v>5</v>
      </c>
      <c r="B11" s="10">
        <v>0</v>
      </c>
      <c r="C11" s="7">
        <v>0</v>
      </c>
      <c r="D11" s="7">
        <v>-123519.71259719922</v>
      </c>
      <c r="E11" s="7">
        <v>0</v>
      </c>
      <c r="F11" s="17">
        <f t="shared" si="0"/>
        <v>-123519.71259719922</v>
      </c>
      <c r="H11" s="4"/>
      <c r="I11" s="14"/>
      <c r="K11" s="10">
        <v>0</v>
      </c>
      <c r="L11" s="7">
        <v>0</v>
      </c>
      <c r="M11" s="7"/>
      <c r="N11" s="7">
        <v>0</v>
      </c>
      <c r="O11" s="7">
        <v>0</v>
      </c>
      <c r="P11" s="7"/>
      <c r="Q11" s="7">
        <v>369296</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8429.1218692375587</v>
      </c>
      <c r="E13" s="7">
        <v>0</v>
      </c>
      <c r="F13" s="17">
        <f t="shared" si="0"/>
        <v>8429.1218692375587</v>
      </c>
      <c r="H13" s="4" t="s">
        <v>67</v>
      </c>
      <c r="I13" s="14">
        <v>91271</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3003885</v>
      </c>
      <c r="K14" s="10"/>
      <c r="L14" s="7"/>
      <c r="M14" s="7"/>
      <c r="N14" s="7"/>
      <c r="O14" s="7"/>
      <c r="P14" s="7"/>
      <c r="Q14" s="7"/>
      <c r="R14" s="7"/>
      <c r="S14" s="7"/>
      <c r="T14" s="7"/>
      <c r="U14" s="17"/>
    </row>
    <row r="15" spans="1:21">
      <c r="A15" t="s">
        <v>9</v>
      </c>
      <c r="B15" s="10">
        <v>0</v>
      </c>
      <c r="C15" s="7">
        <v>0</v>
      </c>
      <c r="D15" s="7">
        <v>582446.20461948472</v>
      </c>
      <c r="E15" s="7">
        <v>0</v>
      </c>
      <c r="F15" s="17">
        <f t="shared" si="0"/>
        <v>582446.20461948472</v>
      </c>
      <c r="H15" s="4" t="s">
        <v>69</v>
      </c>
      <c r="I15" s="14">
        <v>1905625.47</v>
      </c>
      <c r="K15" s="10"/>
      <c r="L15" s="7"/>
      <c r="M15" s="7"/>
      <c r="N15" s="7"/>
      <c r="O15" s="7"/>
      <c r="P15" s="7"/>
      <c r="Q15" s="7"/>
      <c r="R15" s="7"/>
      <c r="S15" s="7"/>
      <c r="T15" s="7"/>
      <c r="U15" s="17"/>
    </row>
    <row r="16" spans="1:21">
      <c r="A16" t="s">
        <v>10</v>
      </c>
      <c r="B16" s="10">
        <v>0</v>
      </c>
      <c r="C16" s="7">
        <v>0</v>
      </c>
      <c r="D16" s="7">
        <v>1561189.9306778186</v>
      </c>
      <c r="E16" s="7">
        <v>0</v>
      </c>
      <c r="F16" s="17">
        <f t="shared" si="0"/>
        <v>1561189.9306778186</v>
      </c>
      <c r="H16" s="4" t="s">
        <v>70</v>
      </c>
      <c r="I16" s="14">
        <v>0</v>
      </c>
      <c r="K16" s="10">
        <v>0</v>
      </c>
      <c r="L16" s="7">
        <v>0</v>
      </c>
      <c r="M16" s="7"/>
      <c r="N16" s="7">
        <v>0</v>
      </c>
      <c r="O16" s="7">
        <v>0</v>
      </c>
      <c r="P16" s="7"/>
      <c r="Q16" s="7">
        <v>1448000</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31921.597177645432</v>
      </c>
      <c r="E18" s="7">
        <v>0</v>
      </c>
      <c r="F18" s="17">
        <f t="shared" si="0"/>
        <v>31921.597177645432</v>
      </c>
      <c r="H18" s="4" t="s">
        <v>71</v>
      </c>
      <c r="I18" s="14"/>
      <c r="K18" s="10">
        <v>0</v>
      </c>
      <c r="L18" s="7">
        <v>0</v>
      </c>
      <c r="M18" s="7"/>
      <c r="N18" s="7">
        <v>0</v>
      </c>
      <c r="O18" s="7">
        <v>0</v>
      </c>
      <c r="P18" s="7"/>
      <c r="Q18" s="7">
        <v>43000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28022</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-136.35129251444243</v>
      </c>
      <c r="E22" s="7">
        <v>0</v>
      </c>
      <c r="F22" s="17">
        <f t="shared" si="0"/>
        <v>-136.35129251444243</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262444.78645479586</v>
      </c>
      <c r="E24" s="7">
        <v>0</v>
      </c>
      <c r="F24" s="17">
        <f t="shared" si="0"/>
        <v>262444.78645479586</v>
      </c>
      <c r="H24" s="4" t="s">
        <v>77</v>
      </c>
      <c r="I24" s="14">
        <v>2587048</v>
      </c>
      <c r="K24" s="10">
        <v>226286</v>
      </c>
      <c r="L24" s="7">
        <v>0</v>
      </c>
      <c r="M24" s="7"/>
      <c r="N24" s="7">
        <v>0</v>
      </c>
      <c r="O24" s="7">
        <v>0</v>
      </c>
      <c r="P24" s="7"/>
      <c r="Q24" s="7">
        <v>378714</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4938099.47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4938099.47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241549.04829657916</v>
      </c>
      <c r="E30" s="7">
        <v>0</v>
      </c>
      <c r="F30" s="17">
        <f t="shared" si="0"/>
        <v>241549.04829657916</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9909.705520762187</v>
      </c>
      <c r="E32" s="7">
        <v>0</v>
      </c>
      <c r="F32" s="17">
        <f t="shared" si="0"/>
        <v>9909.705520762187</v>
      </c>
      <c r="K32" s="10"/>
      <c r="L32" s="7"/>
      <c r="M32" s="7"/>
      <c r="N32" s="7"/>
      <c r="O32" s="7"/>
      <c r="P32" s="7"/>
      <c r="Q32" s="7"/>
      <c r="R32" s="7"/>
      <c r="S32" s="7"/>
      <c r="T32" s="7"/>
      <c r="U32" s="17"/>
    </row>
    <row r="33" spans="1:21">
      <c r="A33" t="s">
        <v>27</v>
      </c>
      <c r="B33" s="10">
        <v>0</v>
      </c>
      <c r="C33" s="7">
        <v>0</v>
      </c>
      <c r="D33" s="7">
        <v>29796.299601918628</v>
      </c>
      <c r="E33" s="7">
        <v>0</v>
      </c>
      <c r="F33" s="17">
        <f t="shared" si="0"/>
        <v>29796.299601918628</v>
      </c>
      <c r="K33" s="10"/>
      <c r="L33" s="7"/>
      <c r="M33" s="7"/>
      <c r="N33" s="7"/>
      <c r="O33" s="7"/>
      <c r="P33" s="7"/>
      <c r="Q33" s="7"/>
      <c r="R33" s="7"/>
      <c r="S33" s="7"/>
      <c r="T33" s="7"/>
      <c r="U33" s="17"/>
    </row>
    <row r="34" spans="1:21">
      <c r="A34" t="s">
        <v>28</v>
      </c>
      <c r="B34" s="10">
        <v>0</v>
      </c>
      <c r="C34" s="7">
        <v>0</v>
      </c>
      <c r="D34" s="7">
        <v>2239.7230205243568</v>
      </c>
      <c r="E34" s="7">
        <v>0</v>
      </c>
      <c r="F34" s="17">
        <f t="shared" si="0"/>
        <v>2239.7230205243568</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-86764.755706121854</v>
      </c>
      <c r="E37" s="7">
        <v>0</v>
      </c>
      <c r="F37" s="17">
        <f t="shared" si="0"/>
        <v>-86764.755706121854</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16832.505474336489</v>
      </c>
      <c r="E41" s="7">
        <v>0</v>
      </c>
      <c r="F41" s="17">
        <f t="shared" si="1"/>
        <v>16832.505474336489</v>
      </c>
      <c r="K41" s="10"/>
      <c r="L41" s="7"/>
      <c r="M41" s="7"/>
      <c r="N41" s="7"/>
      <c r="O41" s="7"/>
      <c r="P41" s="7"/>
      <c r="Q41" s="7"/>
      <c r="R41" s="7"/>
      <c r="S41" s="7"/>
      <c r="T41" s="7"/>
      <c r="U41" s="17"/>
    </row>
    <row r="42" spans="1:21">
      <c r="A42" t="s">
        <v>36</v>
      </c>
      <c r="B42" s="10">
        <v>0</v>
      </c>
      <c r="C42" s="7">
        <v>0</v>
      </c>
      <c r="D42" s="7">
        <v>189054.98611690153</v>
      </c>
      <c r="E42" s="7">
        <v>0</v>
      </c>
      <c r="F42" s="17">
        <f t="shared" si="1"/>
        <v>189054.98611690153</v>
      </c>
      <c r="K42" s="10">
        <v>0</v>
      </c>
      <c r="L42" s="7">
        <v>0</v>
      </c>
      <c r="M42" s="7"/>
      <c r="N42" s="7">
        <v>0</v>
      </c>
      <c r="O42" s="7">
        <v>0</v>
      </c>
      <c r="P42" s="7"/>
      <c r="Q42" s="7">
        <v>200000</v>
      </c>
      <c r="R42" s="7">
        <v>0</v>
      </c>
      <c r="S42" s="7"/>
      <c r="T42" s="7">
        <v>0</v>
      </c>
      <c r="U42" s="17">
        <v>0</v>
      </c>
    </row>
    <row r="43" spans="1:21">
      <c r="A43" t="s">
        <v>37</v>
      </c>
      <c r="B43" s="10">
        <v>0</v>
      </c>
      <c r="C43" s="7">
        <v>0</v>
      </c>
      <c r="D43" s="7">
        <v>35986.434480784337</v>
      </c>
      <c r="E43" s="7">
        <v>0</v>
      </c>
      <c r="F43" s="17">
        <f t="shared" si="1"/>
        <v>35986.434480784337</v>
      </c>
      <c r="K43" s="10"/>
      <c r="L43" s="7"/>
      <c r="M43" s="7"/>
      <c r="N43" s="7"/>
      <c r="O43" s="7"/>
      <c r="P43" s="7"/>
      <c r="Q43" s="7"/>
      <c r="R43" s="7"/>
      <c r="S43" s="7"/>
      <c r="T43" s="7"/>
      <c r="U43" s="17"/>
    </row>
    <row r="44" spans="1:21">
      <c r="A44" t="s">
        <v>38</v>
      </c>
      <c r="B44" s="10">
        <v>0</v>
      </c>
      <c r="C44" s="7">
        <v>0</v>
      </c>
      <c r="D44" s="7">
        <v>-627.76123744632196</v>
      </c>
      <c r="E44" s="7">
        <v>0</v>
      </c>
      <c r="F44" s="17">
        <f t="shared" si="1"/>
        <v>-627.76123744632196</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1060846.4637699267</v>
      </c>
      <c r="E47" s="7">
        <v>0</v>
      </c>
      <c r="F47" s="17">
        <f t="shared" si="1"/>
        <v>1060846.4637699267</v>
      </c>
      <c r="K47" s="10">
        <v>0</v>
      </c>
      <c r="L47" s="7">
        <v>0</v>
      </c>
      <c r="M47" s="7"/>
      <c r="N47" s="7">
        <v>0</v>
      </c>
      <c r="O47" s="7">
        <v>0</v>
      </c>
      <c r="P47" s="7"/>
      <c r="Q47" s="7">
        <v>1200000</v>
      </c>
      <c r="R47" s="7">
        <v>0</v>
      </c>
      <c r="S47" s="7"/>
      <c r="T47" s="7">
        <v>0</v>
      </c>
      <c r="U47" s="17">
        <v>0</v>
      </c>
    </row>
    <row r="48" spans="1:21">
      <c r="A48" t="s">
        <v>42</v>
      </c>
      <c r="B48" s="10">
        <v>0</v>
      </c>
      <c r="C48" s="7">
        <v>0</v>
      </c>
      <c r="D48" s="7">
        <v>-8222.49443010705</v>
      </c>
      <c r="E48" s="7">
        <v>0</v>
      </c>
      <c r="F48" s="17">
        <f t="shared" si="1"/>
        <v>-8222.49443010705</v>
      </c>
      <c r="K48" s="10"/>
      <c r="L48" s="7"/>
      <c r="M48" s="7"/>
      <c r="N48" s="7"/>
      <c r="O48" s="7"/>
      <c r="P48" s="7"/>
      <c r="Q48" s="7"/>
      <c r="R48" s="7"/>
      <c r="S48" s="7"/>
      <c r="T48" s="7"/>
      <c r="U48" s="17"/>
    </row>
    <row r="49" spans="1:21">
      <c r="A49" t="s">
        <v>43</v>
      </c>
      <c r="B49" s="10">
        <v>0</v>
      </c>
      <c r="C49" s="7">
        <v>0</v>
      </c>
      <c r="D49" s="7">
        <v>191528.85371429828</v>
      </c>
      <c r="E49" s="7">
        <v>0</v>
      </c>
      <c r="F49" s="17">
        <f t="shared" si="1"/>
        <v>191528.85371429828</v>
      </c>
      <c r="K49" s="10">
        <v>0</v>
      </c>
      <c r="L49" s="7">
        <v>0</v>
      </c>
      <c r="M49" s="7"/>
      <c r="N49" s="7">
        <v>0</v>
      </c>
      <c r="O49" s="7">
        <v>0</v>
      </c>
      <c r="P49" s="7"/>
      <c r="Q49" s="7">
        <v>250000</v>
      </c>
      <c r="R49" s="7">
        <v>0</v>
      </c>
      <c r="S49" s="7"/>
      <c r="T49" s="7">
        <v>0</v>
      </c>
      <c r="U49" s="17">
        <v>0</v>
      </c>
    </row>
    <row r="50" spans="1:21">
      <c r="A50" t="s">
        <v>44</v>
      </c>
      <c r="B50" s="10">
        <v>2000</v>
      </c>
      <c r="C50" s="7">
        <v>0</v>
      </c>
      <c r="D50" s="7">
        <v>640035.85777960462</v>
      </c>
      <c r="E50" s="7">
        <v>0</v>
      </c>
      <c r="F50" s="17">
        <f t="shared" si="1"/>
        <v>642035.85777960462</v>
      </c>
      <c r="K50" s="10"/>
      <c r="L50" s="7"/>
      <c r="M50" s="7"/>
      <c r="N50" s="7"/>
      <c r="O50" s="7"/>
      <c r="P50" s="7"/>
      <c r="Q50" s="7"/>
      <c r="R50" s="7"/>
      <c r="S50" s="7"/>
      <c r="T50" s="7"/>
      <c r="U50" s="17"/>
    </row>
    <row r="51" spans="1:21">
      <c r="A51" t="s">
        <v>45</v>
      </c>
      <c r="B51" s="10">
        <v>0</v>
      </c>
      <c r="C51" s="7">
        <v>0</v>
      </c>
      <c r="D51" s="7">
        <v>-57.86483964904675</v>
      </c>
      <c r="E51" s="7">
        <v>0</v>
      </c>
      <c r="F51" s="17">
        <f t="shared" si="1"/>
        <v>-57.86483964904675</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2000</v>
      </c>
      <c r="C60" s="7">
        <f>SUM(C6:C58)</f>
        <v>0</v>
      </c>
      <c r="D60" s="7">
        <f>SUM(D6:D58)</f>
        <v>4936099.47</v>
      </c>
      <c r="E60" s="7">
        <f>SUM(E6:E58)</f>
        <v>0</v>
      </c>
      <c r="F60" s="17">
        <f>SUM(F6:F58)</f>
        <v>4938099.47</v>
      </c>
      <c r="K60" s="10">
        <f>SUM(K6:K58)</f>
        <v>226286</v>
      </c>
      <c r="L60" s="7">
        <f>SUM(L6:L58)</f>
        <v>0</v>
      </c>
      <c r="M60" s="7"/>
      <c r="N60" s="7">
        <f>SUM(N6:N58)</f>
        <v>0</v>
      </c>
      <c r="O60" s="7">
        <f>SUM(O6:O58)</f>
        <v>0</v>
      </c>
      <c r="P60" s="7"/>
      <c r="Q60" s="7">
        <f>SUM(Q6:Q58)</f>
        <v>3959304</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Italic"States General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240501.10481372962</v>
      </c>
      <c r="E6" s="7">
        <v>0</v>
      </c>
      <c r="F6" s="17">
        <f t="shared" ref="F6:F37" si="0">SUM(B6:E6)</f>
        <v>240501.10481372962</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909527.50059811655</v>
      </c>
      <c r="E8" s="7">
        <v>0</v>
      </c>
      <c r="F8" s="17">
        <f t="shared" si="0"/>
        <v>909527.50059811655</v>
      </c>
      <c r="H8" s="4" t="s">
        <v>64</v>
      </c>
      <c r="I8" s="13"/>
      <c r="K8" s="10"/>
      <c r="L8" s="7"/>
      <c r="M8" s="7"/>
      <c r="N8" s="7"/>
      <c r="O8" s="7"/>
      <c r="P8" s="7"/>
      <c r="Q8" s="7"/>
      <c r="R8" s="7"/>
      <c r="S8" s="7"/>
      <c r="T8" s="7"/>
      <c r="U8" s="17"/>
    </row>
    <row r="9" spans="1:21">
      <c r="A9" t="s">
        <v>3</v>
      </c>
      <c r="B9" s="10">
        <v>0</v>
      </c>
      <c r="C9" s="7">
        <v>0</v>
      </c>
      <c r="D9" s="7">
        <v>114576.67589814356</v>
      </c>
      <c r="E9" s="7">
        <v>0</v>
      </c>
      <c r="F9" s="17">
        <f t="shared" si="0"/>
        <v>114576.67589814356</v>
      </c>
      <c r="H9" s="4"/>
      <c r="I9" s="13"/>
      <c r="K9" s="10"/>
      <c r="L9" s="7"/>
      <c r="M9" s="7"/>
      <c r="N9" s="7"/>
      <c r="O9" s="7"/>
      <c r="P9" s="7"/>
      <c r="Q9" s="7"/>
      <c r="R9" s="7"/>
      <c r="S9" s="7"/>
      <c r="T9" s="7"/>
      <c r="U9" s="17"/>
    </row>
    <row r="10" spans="1:21">
      <c r="A10" t="s">
        <v>4</v>
      </c>
      <c r="B10" s="10">
        <v>0</v>
      </c>
      <c r="C10" s="7">
        <v>0</v>
      </c>
      <c r="D10" s="7">
        <v>1988591.0306638135</v>
      </c>
      <c r="E10" s="7">
        <v>0</v>
      </c>
      <c r="F10" s="17">
        <f t="shared" si="0"/>
        <v>1988591.0306638135</v>
      </c>
      <c r="H10" s="4" t="s">
        <v>65</v>
      </c>
      <c r="I10" s="14">
        <v>407317732.31675696</v>
      </c>
      <c r="K10" s="10"/>
      <c r="L10" s="7"/>
      <c r="M10" s="7"/>
      <c r="N10" s="7"/>
      <c r="O10" s="7"/>
      <c r="P10" s="7"/>
      <c r="Q10" s="7"/>
      <c r="R10" s="7"/>
      <c r="S10" s="7"/>
      <c r="T10" s="7"/>
      <c r="U10" s="17"/>
    </row>
    <row r="11" spans="1:21">
      <c r="A11" t="s">
        <v>5</v>
      </c>
      <c r="B11" s="10">
        <v>0</v>
      </c>
      <c r="C11" s="7">
        <v>0</v>
      </c>
      <c r="D11" s="7">
        <v>11684487.589993397</v>
      </c>
      <c r="E11" s="7">
        <v>0</v>
      </c>
      <c r="F11" s="17">
        <f t="shared" si="0"/>
        <v>11684487.589993397</v>
      </c>
      <c r="H11" s="4"/>
      <c r="I11" s="14"/>
      <c r="K11" s="10"/>
      <c r="L11" s="7"/>
      <c r="M11" s="7"/>
      <c r="N11" s="7"/>
      <c r="O11" s="7"/>
      <c r="P11" s="7"/>
      <c r="Q11" s="7"/>
      <c r="R11" s="7"/>
      <c r="S11" s="7"/>
      <c r="T11" s="7"/>
      <c r="U11" s="17"/>
    </row>
    <row r="12" spans="1:21">
      <c r="A12" t="s">
        <v>6</v>
      </c>
      <c r="B12" s="10">
        <v>0</v>
      </c>
      <c r="C12" s="7">
        <v>0</v>
      </c>
      <c r="D12" s="7">
        <v>22997036.613803826</v>
      </c>
      <c r="E12" s="7">
        <v>0</v>
      </c>
      <c r="F12" s="17">
        <f t="shared" si="0"/>
        <v>22997036.613803826</v>
      </c>
      <c r="H12" s="4" t="s">
        <v>66</v>
      </c>
      <c r="I12" s="14"/>
      <c r="K12" s="10"/>
      <c r="L12" s="7"/>
      <c r="M12" s="7"/>
      <c r="N12" s="7"/>
      <c r="O12" s="7"/>
      <c r="P12" s="7"/>
      <c r="Q12" s="7"/>
      <c r="R12" s="7"/>
      <c r="S12" s="7"/>
      <c r="T12" s="7"/>
      <c r="U12" s="17"/>
    </row>
    <row r="13" spans="1:21">
      <c r="A13" t="s">
        <v>7</v>
      </c>
      <c r="B13" s="10">
        <v>0</v>
      </c>
      <c r="C13" s="7">
        <v>0</v>
      </c>
      <c r="D13" s="7">
        <v>274931.34382792906</v>
      </c>
      <c r="E13" s="7">
        <v>0</v>
      </c>
      <c r="F13" s="17">
        <f t="shared" si="0"/>
        <v>274931.34382792906</v>
      </c>
      <c r="H13" s="4" t="s">
        <v>67</v>
      </c>
      <c r="I13" s="14">
        <v>0</v>
      </c>
      <c r="K13" s="10"/>
      <c r="L13" s="7"/>
      <c r="M13" s="7"/>
      <c r="N13" s="7"/>
      <c r="O13" s="7"/>
      <c r="P13" s="7"/>
      <c r="Q13" s="7"/>
      <c r="R13" s="7"/>
      <c r="S13" s="7"/>
      <c r="T13" s="7"/>
      <c r="U13" s="17"/>
    </row>
    <row r="14" spans="1:21">
      <c r="A14" t="s">
        <v>8</v>
      </c>
      <c r="B14" s="10">
        <v>0</v>
      </c>
      <c r="C14" s="7">
        <v>0</v>
      </c>
      <c r="D14" s="7">
        <v>474.49762690335126</v>
      </c>
      <c r="E14" s="7">
        <v>0</v>
      </c>
      <c r="F14" s="17">
        <f t="shared" si="0"/>
        <v>474.49762690335126</v>
      </c>
      <c r="H14" s="4" t="s">
        <v>68</v>
      </c>
      <c r="I14" s="14">
        <v>0</v>
      </c>
      <c r="K14" s="10"/>
      <c r="L14" s="7"/>
      <c r="M14" s="7"/>
      <c r="N14" s="7"/>
      <c r="O14" s="7"/>
      <c r="P14" s="7"/>
      <c r="Q14" s="7"/>
      <c r="R14" s="7"/>
      <c r="S14" s="7"/>
      <c r="T14" s="7"/>
      <c r="U14" s="17"/>
    </row>
    <row r="15" spans="1:21">
      <c r="A15" t="s">
        <v>9</v>
      </c>
      <c r="B15" s="10">
        <v>0</v>
      </c>
      <c r="C15" s="7">
        <v>0</v>
      </c>
      <c r="D15" s="7">
        <v>9995979.5940117538</v>
      </c>
      <c r="E15" s="7">
        <v>0</v>
      </c>
      <c r="F15" s="17">
        <f t="shared" si="0"/>
        <v>9995979.5940117538</v>
      </c>
      <c r="H15" s="4" t="s">
        <v>69</v>
      </c>
      <c r="I15" s="14">
        <v>777207.59644489398</v>
      </c>
      <c r="K15" s="10"/>
      <c r="L15" s="7"/>
      <c r="M15" s="7"/>
      <c r="N15" s="7"/>
      <c r="O15" s="7"/>
      <c r="P15" s="7"/>
      <c r="Q15" s="7"/>
      <c r="R15" s="7"/>
      <c r="S15" s="7"/>
      <c r="T15" s="7"/>
      <c r="U15" s="17"/>
    </row>
    <row r="16" spans="1:21">
      <c r="A16" t="s">
        <v>10</v>
      </c>
      <c r="B16" s="10">
        <v>0</v>
      </c>
      <c r="C16" s="7">
        <v>0</v>
      </c>
      <c r="D16" s="7">
        <v>765269.84668836277</v>
      </c>
      <c r="E16" s="7">
        <v>0</v>
      </c>
      <c r="F16" s="17">
        <f t="shared" si="0"/>
        <v>765269.84668836277</v>
      </c>
      <c r="H16" s="4" t="s">
        <v>70</v>
      </c>
      <c r="I16" s="14">
        <v>298254444.74077189</v>
      </c>
      <c r="K16" s="10"/>
      <c r="L16" s="7"/>
      <c r="M16" s="7"/>
      <c r="N16" s="7"/>
      <c r="O16" s="7"/>
      <c r="P16" s="7"/>
      <c r="Q16" s="7"/>
      <c r="R16" s="7"/>
      <c r="S16" s="7"/>
      <c r="T16" s="7"/>
      <c r="U16" s="17"/>
    </row>
    <row r="17" spans="1:21">
      <c r="A17" t="s">
        <v>11</v>
      </c>
      <c r="B17" s="10">
        <v>0</v>
      </c>
      <c r="C17" s="7">
        <v>0</v>
      </c>
      <c r="D17" s="7">
        <v>35903.385964768815</v>
      </c>
      <c r="E17" s="7">
        <v>0</v>
      </c>
      <c r="F17" s="17">
        <f t="shared" si="0"/>
        <v>35903.385964768815</v>
      </c>
      <c r="H17" s="4"/>
      <c r="I17" s="14"/>
      <c r="K17" s="10"/>
      <c r="L17" s="7"/>
      <c r="M17" s="7"/>
      <c r="N17" s="7"/>
      <c r="O17" s="7"/>
      <c r="P17" s="7"/>
      <c r="Q17" s="7"/>
      <c r="R17" s="7"/>
      <c r="S17" s="7"/>
      <c r="T17" s="7"/>
      <c r="U17" s="17"/>
    </row>
    <row r="18" spans="1:21">
      <c r="A18" t="s">
        <v>12</v>
      </c>
      <c r="B18" s="10">
        <v>0</v>
      </c>
      <c r="C18" s="7">
        <v>0</v>
      </c>
      <c r="D18" s="7">
        <v>66955.865637206996</v>
      </c>
      <c r="E18" s="7">
        <v>0</v>
      </c>
      <c r="F18" s="17">
        <f t="shared" si="0"/>
        <v>66955.865637206996</v>
      </c>
      <c r="H18" s="4" t="s">
        <v>71</v>
      </c>
      <c r="I18" s="14"/>
      <c r="K18" s="10"/>
      <c r="L18" s="7"/>
      <c r="M18" s="7"/>
      <c r="N18" s="7"/>
      <c r="O18" s="7"/>
      <c r="P18" s="7"/>
      <c r="Q18" s="7"/>
      <c r="R18" s="7"/>
      <c r="S18" s="7"/>
      <c r="T18" s="7"/>
      <c r="U18" s="17"/>
    </row>
    <row r="19" spans="1:21">
      <c r="A19" t="s">
        <v>13</v>
      </c>
      <c r="B19" s="10">
        <v>0</v>
      </c>
      <c r="C19" s="7">
        <v>0</v>
      </c>
      <c r="D19" s="7">
        <v>125004.62894226685</v>
      </c>
      <c r="E19" s="7">
        <v>0</v>
      </c>
      <c r="F19" s="17">
        <f t="shared" si="0"/>
        <v>125004.62894226685</v>
      </c>
      <c r="H19" s="4" t="s">
        <v>72</v>
      </c>
      <c r="I19" s="14">
        <v>109063287.57598503</v>
      </c>
      <c r="K19" s="10"/>
      <c r="L19" s="7"/>
      <c r="M19" s="7"/>
      <c r="N19" s="7"/>
      <c r="O19" s="7"/>
      <c r="P19" s="7"/>
      <c r="Q19" s="7"/>
      <c r="R19" s="7"/>
      <c r="S19" s="7"/>
      <c r="T19" s="7"/>
      <c r="U19" s="17"/>
    </row>
    <row r="20" spans="1:21">
      <c r="A20" t="s">
        <v>14</v>
      </c>
      <c r="B20" s="10">
        <v>0</v>
      </c>
      <c r="C20" s="7">
        <v>0</v>
      </c>
      <c r="D20" s="7">
        <v>118412.51286801539</v>
      </c>
      <c r="E20" s="7">
        <v>0</v>
      </c>
      <c r="F20" s="17">
        <f t="shared" si="0"/>
        <v>118412.51286801539</v>
      </c>
      <c r="H20" s="4" t="s">
        <v>73</v>
      </c>
      <c r="I20" s="14">
        <v>298254444.74077189</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11395250.788701314</v>
      </c>
      <c r="E22" s="7">
        <v>0</v>
      </c>
      <c r="F22" s="17">
        <f t="shared" si="0"/>
        <v>11395250.788701314</v>
      </c>
      <c r="H22" s="4" t="s">
        <v>75</v>
      </c>
      <c r="I22" s="14">
        <v>0</v>
      </c>
      <c r="K22" s="10"/>
      <c r="L22" s="7"/>
      <c r="M22" s="7"/>
      <c r="N22" s="7"/>
      <c r="O22" s="7"/>
      <c r="P22" s="7"/>
      <c r="Q22" s="7"/>
      <c r="R22" s="7"/>
      <c r="S22" s="7"/>
      <c r="T22" s="7"/>
      <c r="U22" s="17"/>
    </row>
    <row r="23" spans="1:21">
      <c r="A23" t="s">
        <v>17</v>
      </c>
      <c r="B23" s="10">
        <v>0</v>
      </c>
      <c r="C23" s="7">
        <v>0</v>
      </c>
      <c r="D23" s="7">
        <v>29981.474393244389</v>
      </c>
      <c r="E23" s="7">
        <v>0</v>
      </c>
      <c r="F23" s="17">
        <f t="shared" si="0"/>
        <v>29981.474393244389</v>
      </c>
      <c r="H23" s="4" t="s">
        <v>76</v>
      </c>
      <c r="I23" s="14"/>
      <c r="K23" s="10"/>
      <c r="L23" s="7"/>
      <c r="M23" s="7"/>
      <c r="N23" s="7"/>
      <c r="O23" s="7"/>
      <c r="P23" s="7"/>
      <c r="Q23" s="7"/>
      <c r="R23" s="7"/>
      <c r="S23" s="7"/>
      <c r="T23" s="7"/>
      <c r="U23" s="17"/>
    </row>
    <row r="24" spans="1:21">
      <c r="A24" t="s">
        <v>18</v>
      </c>
      <c r="B24" s="10">
        <v>0</v>
      </c>
      <c r="C24" s="7">
        <v>0</v>
      </c>
      <c r="D24" s="7">
        <v>174739.01969224025</v>
      </c>
      <c r="E24" s="7">
        <v>0</v>
      </c>
      <c r="F24" s="17">
        <f t="shared" si="0"/>
        <v>174739.01969224025</v>
      </c>
      <c r="H24" s="4" t="s">
        <v>77</v>
      </c>
      <c r="I24" s="14">
        <v>0</v>
      </c>
      <c r="K24" s="10"/>
      <c r="L24" s="7"/>
      <c r="M24" s="7"/>
      <c r="N24" s="7"/>
      <c r="O24" s="7"/>
      <c r="P24" s="7"/>
      <c r="Q24" s="7"/>
      <c r="R24" s="7"/>
      <c r="S24" s="7"/>
      <c r="T24" s="7"/>
      <c r="U24" s="17"/>
    </row>
    <row r="25" spans="1:21">
      <c r="A25" t="s">
        <v>19</v>
      </c>
      <c r="B25" s="10">
        <v>0</v>
      </c>
      <c r="C25" s="7">
        <v>0</v>
      </c>
      <c r="D25" s="7">
        <v>949039.60878154251</v>
      </c>
      <c r="E25" s="7">
        <v>0</v>
      </c>
      <c r="F25" s="17">
        <f t="shared" si="0"/>
        <v>949039.60878154251</v>
      </c>
      <c r="H25" s="4"/>
      <c r="I25" s="14"/>
      <c r="K25" s="10"/>
      <c r="L25" s="7"/>
      <c r="M25" s="7"/>
      <c r="N25" s="7"/>
      <c r="O25" s="7"/>
      <c r="P25" s="7"/>
      <c r="Q25" s="7"/>
      <c r="R25" s="7"/>
      <c r="S25" s="7"/>
      <c r="T25" s="7"/>
      <c r="U25" s="17"/>
    </row>
    <row r="26" spans="1:21">
      <c r="A26" t="s">
        <v>20</v>
      </c>
      <c r="B26" s="10">
        <v>0</v>
      </c>
      <c r="C26" s="7">
        <v>0</v>
      </c>
      <c r="D26" s="7">
        <v>1321757.7788496874</v>
      </c>
      <c r="E26" s="7">
        <v>0</v>
      </c>
      <c r="F26" s="17">
        <f t="shared" si="0"/>
        <v>1321757.7788496874</v>
      </c>
      <c r="H26" s="4" t="s">
        <v>78</v>
      </c>
      <c r="I26" s="14">
        <f>SUM(I10:I16)-SUM(I19:I24)</f>
        <v>299031652.33721691</v>
      </c>
      <c r="K26" s="10"/>
      <c r="L26" s="7"/>
      <c r="M26" s="7"/>
      <c r="N26" s="7"/>
      <c r="O26" s="7"/>
      <c r="P26" s="7"/>
      <c r="Q26" s="7"/>
      <c r="R26" s="7"/>
      <c r="S26" s="7"/>
      <c r="T26" s="7"/>
      <c r="U26" s="17"/>
    </row>
    <row r="27" spans="1:21">
      <c r="A27" t="s">
        <v>21</v>
      </c>
      <c r="B27" s="10">
        <v>0</v>
      </c>
      <c r="C27" s="7">
        <v>0</v>
      </c>
      <c r="D27" s="7">
        <v>614828.08282455592</v>
      </c>
      <c r="E27" s="7">
        <v>0</v>
      </c>
      <c r="F27" s="17">
        <f t="shared" si="0"/>
        <v>614828.08282455592</v>
      </c>
      <c r="H27" s="4" t="s">
        <v>79</v>
      </c>
      <c r="I27" s="14">
        <f>+F60</f>
        <v>299031652.33721685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94826.667688795831</v>
      </c>
      <c r="E29" s="7">
        <v>0</v>
      </c>
      <c r="F29" s="17">
        <f t="shared" si="0"/>
        <v>94826.667688795831</v>
      </c>
      <c r="K29" s="10"/>
      <c r="L29" s="7"/>
      <c r="M29" s="7"/>
      <c r="N29" s="7"/>
      <c r="O29" s="7"/>
      <c r="P29" s="7"/>
      <c r="Q29" s="7"/>
      <c r="R29" s="7"/>
      <c r="S29" s="7"/>
      <c r="T29" s="7"/>
      <c r="U29" s="17"/>
    </row>
    <row r="30" spans="1:21">
      <c r="A30" t="s">
        <v>24</v>
      </c>
      <c r="B30" s="10">
        <v>0</v>
      </c>
      <c r="C30" s="7">
        <v>0</v>
      </c>
      <c r="D30" s="7">
        <v>1474.2759117753976</v>
      </c>
      <c r="E30" s="7">
        <v>0</v>
      </c>
      <c r="F30" s="17">
        <f t="shared" si="0"/>
        <v>1474.2759117753976</v>
      </c>
      <c r="K30" s="10"/>
      <c r="L30" s="7"/>
      <c r="M30" s="7"/>
      <c r="N30" s="7"/>
      <c r="O30" s="7"/>
      <c r="P30" s="7"/>
      <c r="Q30" s="7"/>
      <c r="R30" s="7"/>
      <c r="S30" s="7"/>
      <c r="T30" s="7"/>
      <c r="U30" s="17"/>
    </row>
    <row r="31" spans="1:21">
      <c r="A31" t="s">
        <v>25</v>
      </c>
      <c r="B31" s="10">
        <v>0</v>
      </c>
      <c r="C31" s="7">
        <v>0</v>
      </c>
      <c r="D31" s="7">
        <v>236160.54402715815</v>
      </c>
      <c r="E31" s="7">
        <v>0</v>
      </c>
      <c r="F31" s="17">
        <f t="shared" si="0"/>
        <v>236160.54402715815</v>
      </c>
      <c r="K31" s="10"/>
      <c r="L31" s="7"/>
      <c r="M31" s="7"/>
      <c r="N31" s="7"/>
      <c r="O31" s="7"/>
      <c r="P31" s="7"/>
      <c r="Q31" s="7"/>
      <c r="R31" s="7"/>
      <c r="S31" s="7"/>
      <c r="T31" s="7"/>
      <c r="U31" s="17"/>
    </row>
    <row r="32" spans="1:21">
      <c r="A32" t="s">
        <v>26</v>
      </c>
      <c r="B32" s="10">
        <v>0</v>
      </c>
      <c r="C32" s="7">
        <v>0</v>
      </c>
      <c r="D32" s="7">
        <v>24718.931099861355</v>
      </c>
      <c r="E32" s="7">
        <v>0</v>
      </c>
      <c r="F32" s="17">
        <f t="shared" si="0"/>
        <v>24718.931099861355</v>
      </c>
      <c r="K32" s="10"/>
      <c r="L32" s="7"/>
      <c r="M32" s="7"/>
      <c r="N32" s="7"/>
      <c r="O32" s="7"/>
      <c r="P32" s="7"/>
      <c r="Q32" s="7"/>
      <c r="R32" s="7"/>
      <c r="S32" s="7"/>
      <c r="T32" s="7"/>
      <c r="U32" s="17"/>
    </row>
    <row r="33" spans="1:21">
      <c r="A33" t="s">
        <v>27</v>
      </c>
      <c r="B33" s="10">
        <v>0</v>
      </c>
      <c r="C33" s="7">
        <v>0</v>
      </c>
      <c r="D33" s="7">
        <v>102768.18051210622</v>
      </c>
      <c r="E33" s="7">
        <v>0</v>
      </c>
      <c r="F33" s="17">
        <f t="shared" si="0"/>
        <v>102768.18051210622</v>
      </c>
      <c r="K33" s="10"/>
      <c r="L33" s="7"/>
      <c r="M33" s="7"/>
      <c r="N33" s="7"/>
      <c r="O33" s="7"/>
      <c r="P33" s="7"/>
      <c r="Q33" s="7"/>
      <c r="R33" s="7"/>
      <c r="S33" s="7"/>
      <c r="T33" s="7"/>
      <c r="U33" s="17"/>
    </row>
    <row r="34" spans="1:21">
      <c r="A34" t="s">
        <v>28</v>
      </c>
      <c r="B34" s="10">
        <v>0</v>
      </c>
      <c r="C34" s="7">
        <v>0</v>
      </c>
      <c r="D34" s="7">
        <v>16420.442557530168</v>
      </c>
      <c r="E34" s="7">
        <v>0</v>
      </c>
      <c r="F34" s="17">
        <f t="shared" si="0"/>
        <v>16420.442557530168</v>
      </c>
      <c r="K34" s="10"/>
      <c r="L34" s="7"/>
      <c r="M34" s="7"/>
      <c r="N34" s="7"/>
      <c r="O34" s="7"/>
      <c r="P34" s="7"/>
      <c r="Q34" s="7"/>
      <c r="R34" s="7"/>
      <c r="S34" s="7"/>
      <c r="T34" s="7"/>
      <c r="U34" s="17"/>
    </row>
    <row r="35" spans="1:21">
      <c r="A35" t="s">
        <v>29</v>
      </c>
      <c r="B35" s="10">
        <v>0</v>
      </c>
      <c r="C35" s="7">
        <v>0</v>
      </c>
      <c r="D35" s="7">
        <v>298348.30199299025</v>
      </c>
      <c r="E35" s="7">
        <v>0</v>
      </c>
      <c r="F35" s="17">
        <f t="shared" si="0"/>
        <v>298348.30199299025</v>
      </c>
      <c r="K35" s="10"/>
      <c r="L35" s="7"/>
      <c r="M35" s="7"/>
      <c r="N35" s="7"/>
      <c r="O35" s="7"/>
      <c r="P35" s="7"/>
      <c r="Q35" s="7"/>
      <c r="R35" s="7"/>
      <c r="S35" s="7"/>
      <c r="T35" s="7"/>
      <c r="U35" s="17"/>
    </row>
    <row r="36" spans="1:21">
      <c r="A36" t="s">
        <v>30</v>
      </c>
      <c r="B36" s="10">
        <v>0</v>
      </c>
      <c r="C36" s="7">
        <v>0</v>
      </c>
      <c r="D36" s="7">
        <v>167534233.27284235</v>
      </c>
      <c r="E36" s="7">
        <v>0</v>
      </c>
      <c r="F36" s="17">
        <f t="shared" si="0"/>
        <v>167534233.27284235</v>
      </c>
      <c r="K36" s="10"/>
      <c r="L36" s="7"/>
      <c r="M36" s="7"/>
      <c r="N36" s="7"/>
      <c r="O36" s="7"/>
      <c r="P36" s="7"/>
      <c r="Q36" s="7"/>
      <c r="R36" s="7"/>
      <c r="S36" s="7"/>
      <c r="T36" s="7"/>
      <c r="U36" s="17"/>
    </row>
    <row r="37" spans="1:21">
      <c r="A37" t="s">
        <v>31</v>
      </c>
      <c r="B37" s="10">
        <v>0</v>
      </c>
      <c r="C37" s="7">
        <v>0</v>
      </c>
      <c r="D37" s="7">
        <v>190074.637487942</v>
      </c>
      <c r="E37" s="7">
        <v>0</v>
      </c>
      <c r="F37" s="17">
        <f t="shared" si="0"/>
        <v>190074.637487942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2283079.0306337974</v>
      </c>
      <c r="E39" s="7">
        <v>0</v>
      </c>
      <c r="F39" s="17">
        <f t="shared" si="1"/>
        <v>2283079.0306337974</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23967.008082965174</v>
      </c>
      <c r="E41" s="7">
        <v>0</v>
      </c>
      <c r="F41" s="17">
        <f t="shared" si="1"/>
        <v>23967.008082965174</v>
      </c>
      <c r="K41" s="10"/>
      <c r="L41" s="7"/>
      <c r="M41" s="7"/>
      <c r="N41" s="7"/>
      <c r="O41" s="7"/>
      <c r="P41" s="7"/>
      <c r="Q41" s="7"/>
      <c r="R41" s="7"/>
      <c r="S41" s="7"/>
      <c r="T41" s="7"/>
      <c r="U41" s="17"/>
    </row>
    <row r="42" spans="1:21">
      <c r="A42" t="s">
        <v>36</v>
      </c>
      <c r="B42" s="10">
        <v>0</v>
      </c>
      <c r="C42" s="7">
        <v>0</v>
      </c>
      <c r="D42" s="7">
        <v>164697.35374682414</v>
      </c>
      <c r="E42" s="7">
        <v>0</v>
      </c>
      <c r="F42" s="17">
        <f t="shared" si="1"/>
        <v>164697.35374682414</v>
      </c>
      <c r="K42" s="10"/>
      <c r="L42" s="7"/>
      <c r="M42" s="7"/>
      <c r="N42" s="7"/>
      <c r="O42" s="7"/>
      <c r="P42" s="7"/>
      <c r="Q42" s="7"/>
      <c r="R42" s="7"/>
      <c r="S42" s="7"/>
      <c r="T42" s="7"/>
      <c r="U42" s="17"/>
    </row>
    <row r="43" spans="1:21">
      <c r="A43" t="s">
        <v>37</v>
      </c>
      <c r="B43" s="10">
        <v>0</v>
      </c>
      <c r="C43" s="7">
        <v>0</v>
      </c>
      <c r="D43" s="7">
        <v>11233.190684443236</v>
      </c>
      <c r="E43" s="7">
        <v>0</v>
      </c>
      <c r="F43" s="17">
        <f t="shared" si="1"/>
        <v>11233.190684443236</v>
      </c>
      <c r="K43" s="10"/>
      <c r="L43" s="7"/>
      <c r="M43" s="7"/>
      <c r="N43" s="7"/>
      <c r="O43" s="7"/>
      <c r="P43" s="7"/>
      <c r="Q43" s="7"/>
      <c r="R43" s="7"/>
      <c r="S43" s="7"/>
      <c r="T43" s="7"/>
      <c r="U43" s="17"/>
    </row>
    <row r="44" spans="1:21">
      <c r="A44" t="s">
        <v>38</v>
      </c>
      <c r="B44" s="10">
        <v>0</v>
      </c>
      <c r="C44" s="7">
        <v>0</v>
      </c>
      <c r="D44" s="7">
        <v>8965705.6085684225</v>
      </c>
      <c r="E44" s="7">
        <v>0</v>
      </c>
      <c r="F44" s="17">
        <f t="shared" si="1"/>
        <v>8965705.6085684225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377479.25721460982</v>
      </c>
      <c r="E46" s="7">
        <v>0</v>
      </c>
      <c r="F46" s="17">
        <f t="shared" si="1"/>
        <v>377479.25721460982</v>
      </c>
      <c r="K46" s="10"/>
      <c r="L46" s="7"/>
      <c r="M46" s="7"/>
      <c r="N46" s="7"/>
      <c r="O46" s="7"/>
      <c r="P46" s="7"/>
      <c r="Q46" s="7"/>
      <c r="R46" s="7"/>
      <c r="S46" s="7"/>
      <c r="T46" s="7"/>
      <c r="U46" s="17"/>
    </row>
    <row r="47" spans="1:21">
      <c r="A47" t="s">
        <v>41</v>
      </c>
      <c r="B47" s="10">
        <v>0</v>
      </c>
      <c r="C47" s="7">
        <v>0</v>
      </c>
      <c r="D47" s="7">
        <v>1187651.8172077124</v>
      </c>
      <c r="E47" s="7">
        <v>0</v>
      </c>
      <c r="F47" s="17">
        <f t="shared" si="1"/>
        <v>1187651.8172077124</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1497544.6529153818</v>
      </c>
      <c r="E49" s="7">
        <v>0</v>
      </c>
      <c r="F49" s="17">
        <f t="shared" si="1"/>
        <v>1497544.6529153818</v>
      </c>
      <c r="K49" s="10"/>
      <c r="L49" s="7"/>
      <c r="M49" s="7"/>
      <c r="N49" s="7"/>
      <c r="O49" s="7"/>
      <c r="P49" s="7"/>
      <c r="Q49" s="7"/>
      <c r="R49" s="7"/>
      <c r="S49" s="7"/>
      <c r="T49" s="7"/>
      <c r="U49" s="17"/>
    </row>
    <row r="50" spans="1:21">
      <c r="A50" t="s">
        <v>44</v>
      </c>
      <c r="B50" s="10">
        <v>0</v>
      </c>
      <c r="C50" s="7">
        <v>0</v>
      </c>
      <c r="D50" s="7">
        <v>467218.0478446777</v>
      </c>
      <c r="E50" s="7">
        <v>0</v>
      </c>
      <c r="F50" s="17">
        <f t="shared" si="1"/>
        <v>467218.0478446777</v>
      </c>
      <c r="K50" s="10"/>
      <c r="L50" s="7"/>
      <c r="M50" s="7"/>
      <c r="N50" s="7"/>
      <c r="O50" s="7"/>
      <c r="P50" s="7"/>
      <c r="Q50" s="7"/>
      <c r="R50" s="7"/>
      <c r="S50" s="7"/>
      <c r="T50" s="7"/>
      <c r="U50" s="17"/>
    </row>
    <row r="51" spans="1:21">
      <c r="A51" t="s">
        <v>45</v>
      </c>
      <c r="B51" s="10">
        <v>0</v>
      </c>
      <c r="C51" s="7">
        <v>0</v>
      </c>
      <c r="D51" s="7">
        <v>16815.453342210523</v>
      </c>
      <c r="E51" s="7">
        <v>0</v>
      </c>
      <c r="F51" s="17">
        <f t="shared" si="1"/>
        <v>16815.453342210523</v>
      </c>
      <c r="K51" s="10"/>
      <c r="L51" s="7"/>
      <c r="M51" s="7"/>
      <c r="N51" s="7"/>
      <c r="O51" s="7"/>
      <c r="P51" s="7"/>
      <c r="Q51" s="7"/>
      <c r="R51" s="7"/>
      <c r="S51" s="7"/>
      <c r="T51" s="7"/>
      <c r="U51" s="17"/>
    </row>
    <row r="52" spans="1:21">
      <c r="A52" t="s">
        <v>46</v>
      </c>
      <c r="B52" s="10">
        <v>0</v>
      </c>
      <c r="C52" s="7">
        <v>0</v>
      </c>
      <c r="D52" s="7">
        <v>313394.96736172424</v>
      </c>
      <c r="E52" s="7">
        <v>0</v>
      </c>
      <c r="F52" s="17">
        <f t="shared" si="1"/>
        <v>313394.96736172424</v>
      </c>
      <c r="K52" s="10"/>
      <c r="L52" s="7"/>
      <c r="M52" s="7"/>
      <c r="N52" s="7"/>
      <c r="O52" s="7"/>
      <c r="P52" s="7"/>
      <c r="Q52" s="7"/>
      <c r="R52" s="7"/>
      <c r="S52" s="7"/>
      <c r="T52" s="7"/>
      <c r="U52" s="17"/>
    </row>
    <row r="53" spans="1:21">
      <c r="A53" t="s">
        <v>47</v>
      </c>
      <c r="B53" s="10">
        <v>0</v>
      </c>
      <c r="C53" s="7">
        <v>0</v>
      </c>
      <c r="D53" s="7">
        <v>47605450.746997781</v>
      </c>
      <c r="E53" s="7">
        <v>0</v>
      </c>
      <c r="F53" s="17">
        <f t="shared" si="1"/>
        <v>47605450.746997781</v>
      </c>
      <c r="K53" s="10"/>
      <c r="L53" s="7"/>
      <c r="M53" s="7"/>
      <c r="N53" s="7"/>
      <c r="O53" s="7"/>
      <c r="P53" s="7"/>
      <c r="Q53" s="7"/>
      <c r="R53" s="7"/>
      <c r="S53" s="7"/>
      <c r="T53" s="7"/>
      <c r="U53" s="17"/>
    </row>
    <row r="54" spans="1:21">
      <c r="A54" t="s">
        <v>48</v>
      </c>
      <c r="B54" s="10">
        <v>0</v>
      </c>
      <c r="C54" s="7">
        <v>0</v>
      </c>
      <c r="D54" s="7">
        <v>122469.40042823175</v>
      </c>
      <c r="E54" s="7">
        <v>0</v>
      </c>
      <c r="F54" s="17">
        <f t="shared" si="1"/>
        <v>122469.40042823175</v>
      </c>
      <c r="K54" s="10"/>
      <c r="L54" s="7"/>
      <c r="M54" s="7"/>
      <c r="N54" s="7"/>
      <c r="O54" s="7"/>
      <c r="P54" s="7"/>
      <c r="Q54" s="7"/>
      <c r="R54" s="7"/>
      <c r="S54" s="7"/>
      <c r="T54" s="7"/>
      <c r="U54" s="17"/>
    </row>
    <row r="55" spans="1:21">
      <c r="A55" t="s">
        <v>49</v>
      </c>
      <c r="B55" s="10">
        <v>0</v>
      </c>
      <c r="C55" s="7">
        <v>0</v>
      </c>
      <c r="D55" s="7">
        <v>3692671.6034867265</v>
      </c>
      <c r="E55" s="7">
        <v>0</v>
      </c>
      <c r="F55" s="17">
        <f t="shared" si="1"/>
        <v>3692671.6034867265</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299031652.33721685</v>
      </c>
      <c r="E60" s="7">
        <f>SUM(E6:E58)</f>
        <v>0</v>
      </c>
      <c r="F60" s="17">
        <f>SUM(F6:F58)</f>
        <v>299031652.33721685</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Network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-4675</v>
      </c>
      <c r="E6" s="7">
        <v>0</v>
      </c>
      <c r="F6" s="17">
        <f t="shared" ref="F6:F37" si="0">SUM(B6:E6)</f>
        <v>-4675</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3983.8135340560038</v>
      </c>
      <c r="E8" s="7">
        <v>0</v>
      </c>
      <c r="F8" s="17">
        <f t="shared" si="0"/>
        <v>3983.8135340560038</v>
      </c>
      <c r="H8" s="4" t="s">
        <v>64</v>
      </c>
      <c r="I8" s="13"/>
      <c r="K8" s="10"/>
      <c r="L8" s="7"/>
      <c r="M8" s="7"/>
      <c r="N8" s="7"/>
      <c r="O8" s="7"/>
      <c r="P8" s="7"/>
      <c r="Q8" s="7"/>
      <c r="R8" s="7"/>
      <c r="S8" s="7"/>
      <c r="T8" s="7"/>
      <c r="U8" s="17"/>
    </row>
    <row r="9" spans="1:21">
      <c r="A9" t="s">
        <v>3</v>
      </c>
      <c r="B9" s="10">
        <v>0</v>
      </c>
      <c r="C9" s="7">
        <v>0</v>
      </c>
      <c r="D9" s="7">
        <v>525576.87558044214</v>
      </c>
      <c r="E9" s="7">
        <v>0</v>
      </c>
      <c r="F9" s="17">
        <f t="shared" si="0"/>
        <v>525576.87558044214</v>
      </c>
      <c r="H9" s="4"/>
      <c r="I9" s="13"/>
      <c r="K9" s="10">
        <v>0</v>
      </c>
      <c r="L9" s="7">
        <v>0</v>
      </c>
      <c r="M9" s="7"/>
      <c r="N9" s="7">
        <v>0</v>
      </c>
      <c r="O9" s="7">
        <v>0</v>
      </c>
      <c r="P9" s="7"/>
      <c r="Q9" s="7">
        <v>1437371</v>
      </c>
      <c r="R9" s="7">
        <v>0</v>
      </c>
      <c r="S9" s="7"/>
      <c r="T9" s="7">
        <v>0</v>
      </c>
      <c r="U9" s="17">
        <v>0</v>
      </c>
    </row>
    <row r="10" spans="1:21">
      <c r="A10" t="s">
        <v>4</v>
      </c>
      <c r="B10" s="10">
        <v>0</v>
      </c>
      <c r="C10" s="7">
        <v>0</v>
      </c>
      <c r="D10" s="7">
        <v>159.71816754269821</v>
      </c>
      <c r="E10" s="7">
        <v>0</v>
      </c>
      <c r="F10" s="17">
        <f t="shared" si="0"/>
        <v>159.71816754269821</v>
      </c>
      <c r="H10" s="4" t="s">
        <v>65</v>
      </c>
      <c r="I10" s="14">
        <v>7285014</v>
      </c>
      <c r="K10" s="10"/>
      <c r="L10" s="7"/>
      <c r="M10" s="7"/>
      <c r="N10" s="7"/>
      <c r="O10" s="7"/>
      <c r="P10" s="7"/>
      <c r="Q10" s="7"/>
      <c r="R10" s="7"/>
      <c r="S10" s="7"/>
      <c r="T10" s="7"/>
      <c r="U10" s="17"/>
    </row>
    <row r="11" spans="1:21">
      <c r="A11" t="s">
        <v>5</v>
      </c>
      <c r="B11" s="10">
        <v>0</v>
      </c>
      <c r="C11" s="7">
        <v>0</v>
      </c>
      <c r="D11" s="7">
        <v>567.47085865086774</v>
      </c>
      <c r="E11" s="7">
        <v>0</v>
      </c>
      <c r="F11" s="17">
        <f t="shared" si="0"/>
        <v>567.47085865086774</v>
      </c>
      <c r="H11" s="4"/>
      <c r="I11" s="14"/>
      <c r="K11" s="10">
        <v>4426</v>
      </c>
      <c r="L11" s="7">
        <v>0</v>
      </c>
      <c r="M11" s="7"/>
      <c r="N11" s="7">
        <v>0</v>
      </c>
      <c r="O11" s="7">
        <v>0</v>
      </c>
      <c r="P11" s="7"/>
      <c r="Q11" s="7">
        <v>4500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602228</v>
      </c>
      <c r="K13" s="10"/>
      <c r="L13" s="7"/>
      <c r="M13" s="7"/>
      <c r="N13" s="7"/>
      <c r="O13" s="7"/>
      <c r="P13" s="7"/>
      <c r="Q13" s="7"/>
      <c r="R13" s="7"/>
      <c r="S13" s="7"/>
      <c r="T13" s="7"/>
      <c r="U13" s="17"/>
    </row>
    <row r="14" spans="1:21">
      <c r="A14" t="s">
        <v>8</v>
      </c>
      <c r="B14" s="10">
        <v>0</v>
      </c>
      <c r="C14" s="7">
        <v>0</v>
      </c>
      <c r="D14" s="7">
        <v>350.6258073324509</v>
      </c>
      <c r="E14" s="7">
        <v>0</v>
      </c>
      <c r="F14" s="17">
        <f t="shared" si="0"/>
        <v>350.6258073324509</v>
      </c>
      <c r="H14" s="4" t="s">
        <v>68</v>
      </c>
      <c r="I14" s="14">
        <v>1111917</v>
      </c>
      <c r="K14" s="10"/>
      <c r="L14" s="7"/>
      <c r="M14" s="7"/>
      <c r="N14" s="7"/>
      <c r="O14" s="7"/>
      <c r="P14" s="7"/>
      <c r="Q14" s="7"/>
      <c r="R14" s="7"/>
      <c r="S14" s="7"/>
      <c r="T14" s="7"/>
      <c r="U14" s="17"/>
    </row>
    <row r="15" spans="1:21">
      <c r="A15" t="s">
        <v>9</v>
      </c>
      <c r="B15" s="10">
        <v>0</v>
      </c>
      <c r="C15" s="7">
        <v>0</v>
      </c>
      <c r="D15" s="7">
        <v>849.22765185059052</v>
      </c>
      <c r="E15" s="7">
        <v>0</v>
      </c>
      <c r="F15" s="17">
        <f t="shared" si="0"/>
        <v>849.22765185059052</v>
      </c>
      <c r="H15" s="4" t="s">
        <v>69</v>
      </c>
      <c r="I15" s="14">
        <v>1308003.1600000004</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11.305998953132075</v>
      </c>
      <c r="E18" s="7">
        <v>0</v>
      </c>
      <c r="F18" s="17">
        <f t="shared" si="0"/>
        <v>11.305998953132075</v>
      </c>
      <c r="H18" s="4" t="s">
        <v>71</v>
      </c>
      <c r="I18" s="14"/>
      <c r="K18" s="10"/>
      <c r="L18" s="7"/>
      <c r="M18" s="7"/>
      <c r="N18" s="7"/>
      <c r="O18" s="7"/>
      <c r="P18" s="7"/>
      <c r="Q18" s="7"/>
      <c r="R18" s="7"/>
      <c r="S18" s="7"/>
      <c r="T18" s="7"/>
      <c r="U18" s="17"/>
    </row>
    <row r="19" spans="1:21">
      <c r="A19" t="s">
        <v>13</v>
      </c>
      <c r="B19" s="10">
        <v>0</v>
      </c>
      <c r="C19" s="7">
        <v>0</v>
      </c>
      <c r="D19" s="7">
        <v>3267.6885994853073</v>
      </c>
      <c r="E19" s="7">
        <v>0</v>
      </c>
      <c r="F19" s="17">
        <f t="shared" si="0"/>
        <v>3267.6885994853073</v>
      </c>
      <c r="H19" s="4" t="s">
        <v>72</v>
      </c>
      <c r="I19" s="14">
        <v>0</v>
      </c>
      <c r="K19" s="10">
        <v>5000</v>
      </c>
      <c r="L19" s="7">
        <v>0</v>
      </c>
      <c r="M19" s="7"/>
      <c r="N19" s="7">
        <v>0</v>
      </c>
      <c r="O19" s="7">
        <v>0</v>
      </c>
      <c r="P19" s="7"/>
      <c r="Q19" s="7">
        <v>25000</v>
      </c>
      <c r="R19" s="7">
        <v>0</v>
      </c>
      <c r="S19" s="7"/>
      <c r="T19" s="7">
        <v>0</v>
      </c>
      <c r="U19" s="17">
        <v>0</v>
      </c>
    </row>
    <row r="20" spans="1:21">
      <c r="A20" t="s">
        <v>14</v>
      </c>
      <c r="B20" s="10">
        <v>0</v>
      </c>
      <c r="C20" s="7">
        <v>0</v>
      </c>
      <c r="D20" s="7">
        <v>488.50322932980362</v>
      </c>
      <c r="E20" s="7">
        <v>0</v>
      </c>
      <c r="F20" s="17">
        <f t="shared" si="0"/>
        <v>488.50322932980362</v>
      </c>
      <c r="H20" s="4" t="s">
        <v>73</v>
      </c>
      <c r="I20" s="14">
        <v>602228</v>
      </c>
      <c r="K20" s="10"/>
      <c r="L20" s="7"/>
      <c r="M20" s="7"/>
      <c r="N20" s="7"/>
      <c r="O20" s="7"/>
      <c r="P20" s="7"/>
      <c r="Q20" s="7"/>
      <c r="R20" s="7"/>
      <c r="S20" s="7"/>
      <c r="T20" s="7"/>
      <c r="U20" s="17"/>
    </row>
    <row r="21" spans="1:21">
      <c r="A21" t="s">
        <v>15</v>
      </c>
      <c r="B21" s="10">
        <v>0</v>
      </c>
      <c r="C21" s="7">
        <v>0</v>
      </c>
      <c r="D21" s="7">
        <v>17.654725654839183</v>
      </c>
      <c r="E21" s="7">
        <v>0</v>
      </c>
      <c r="F21" s="17">
        <f t="shared" si="0"/>
        <v>17.654725654839183</v>
      </c>
      <c r="H21" s="4" t="s">
        <v>74</v>
      </c>
      <c r="I21" s="14"/>
      <c r="K21" s="10"/>
      <c r="L21" s="7"/>
      <c r="M21" s="7"/>
      <c r="N21" s="7"/>
      <c r="O21" s="7"/>
      <c r="P21" s="7"/>
      <c r="Q21" s="7"/>
      <c r="R21" s="7"/>
      <c r="S21" s="7"/>
      <c r="T21" s="7"/>
      <c r="U21" s="17"/>
    </row>
    <row r="22" spans="1:21">
      <c r="A22" t="s">
        <v>16</v>
      </c>
      <c r="B22" s="10">
        <v>0</v>
      </c>
      <c r="C22" s="7">
        <v>0</v>
      </c>
      <c r="D22" s="7">
        <v>849.67629321064578</v>
      </c>
      <c r="E22" s="7">
        <v>0</v>
      </c>
      <c r="F22" s="17">
        <f t="shared" si="0"/>
        <v>849.67629321064578</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1701772.2578626098</v>
      </c>
      <c r="E24" s="7">
        <v>0</v>
      </c>
      <c r="F24" s="17">
        <f t="shared" si="0"/>
        <v>1701772.2578626098</v>
      </c>
      <c r="H24" s="4" t="s">
        <v>77</v>
      </c>
      <c r="I24" s="14">
        <v>5654917</v>
      </c>
      <c r="K24" s="10">
        <v>170592</v>
      </c>
      <c r="L24" s="7">
        <v>0</v>
      </c>
      <c r="M24" s="7"/>
      <c r="N24" s="7">
        <v>0</v>
      </c>
      <c r="O24" s="7">
        <v>0</v>
      </c>
      <c r="P24" s="7"/>
      <c r="Q24" s="7">
        <v>5773407</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130.56171570958577</v>
      </c>
      <c r="E26" s="7">
        <v>0</v>
      </c>
      <c r="F26" s="17">
        <f t="shared" si="0"/>
        <v>130.56171570958577</v>
      </c>
      <c r="H26" s="4" t="s">
        <v>78</v>
      </c>
      <c r="I26" s="14">
        <f>SUM(I10:I16)-SUM(I19:I24)</f>
        <v>4050017.16</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4050017.1599999992</v>
      </c>
      <c r="K27" s="10"/>
      <c r="L27" s="7"/>
      <c r="M27" s="7"/>
      <c r="N27" s="7"/>
      <c r="O27" s="7"/>
      <c r="P27" s="7"/>
      <c r="Q27" s="7"/>
      <c r="R27" s="7"/>
      <c r="S27" s="7"/>
      <c r="T27" s="7"/>
      <c r="U27" s="17"/>
    </row>
    <row r="28" spans="1:21">
      <c r="A28" t="s">
        <v>22</v>
      </c>
      <c r="B28" s="10">
        <v>0</v>
      </c>
      <c r="C28" s="7">
        <v>0</v>
      </c>
      <c r="D28" s="7">
        <v>735.00840786462413</v>
      </c>
      <c r="E28" s="7">
        <v>0</v>
      </c>
      <c r="F28" s="17">
        <f t="shared" si="0"/>
        <v>735.00840786462413</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1181.9486220148301</v>
      </c>
      <c r="E31" s="7">
        <v>0</v>
      </c>
      <c r="F31" s="17">
        <f t="shared" si="0"/>
        <v>1181.9486220148301</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290.27988325228444</v>
      </c>
      <c r="E33" s="7">
        <v>0</v>
      </c>
      <c r="F33" s="17">
        <f t="shared" si="0"/>
        <v>290.27988325228444</v>
      </c>
      <c r="K33" s="10"/>
      <c r="L33" s="7"/>
      <c r="M33" s="7"/>
      <c r="N33" s="7"/>
      <c r="O33" s="7"/>
      <c r="P33" s="7"/>
      <c r="Q33" s="7"/>
      <c r="R33" s="7"/>
      <c r="S33" s="7"/>
      <c r="T33" s="7"/>
      <c r="U33" s="17"/>
    </row>
    <row r="34" spans="1:21">
      <c r="A34" t="s">
        <v>28</v>
      </c>
      <c r="B34" s="10">
        <v>0</v>
      </c>
      <c r="C34" s="7">
        <v>0</v>
      </c>
      <c r="D34" s="7">
        <v>72.618902619356732</v>
      </c>
      <c r="E34" s="7">
        <v>0</v>
      </c>
      <c r="F34" s="17">
        <f t="shared" si="0"/>
        <v>72.618902619356732</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830.76865342089513</v>
      </c>
      <c r="E37" s="7">
        <v>0</v>
      </c>
      <c r="F37" s="17">
        <f t="shared" si="0"/>
        <v>830.76865342089513</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10.914544502846525</v>
      </c>
      <c r="E40" s="7">
        <v>0</v>
      </c>
      <c r="F40" s="17">
        <f t="shared" si="1"/>
        <v>10.914544502846525</v>
      </c>
      <c r="K40" s="10"/>
      <c r="L40" s="7"/>
      <c r="M40" s="7"/>
      <c r="N40" s="7"/>
      <c r="O40" s="7"/>
      <c r="P40" s="7"/>
      <c r="Q40" s="7"/>
      <c r="R40" s="7"/>
      <c r="S40" s="7"/>
      <c r="T40" s="7"/>
      <c r="U40" s="17"/>
    </row>
    <row r="41" spans="1:21">
      <c r="A41" t="s">
        <v>35</v>
      </c>
      <c r="B41" s="10">
        <v>0</v>
      </c>
      <c r="C41" s="7">
        <v>0</v>
      </c>
      <c r="D41" s="7">
        <v>80.359083771349248</v>
      </c>
      <c r="E41" s="7">
        <v>0</v>
      </c>
      <c r="F41" s="17">
        <f t="shared" si="1"/>
        <v>80.359083771349248</v>
      </c>
      <c r="K41" s="10"/>
      <c r="L41" s="7"/>
      <c r="M41" s="7"/>
      <c r="N41" s="7"/>
      <c r="O41" s="7"/>
      <c r="P41" s="7"/>
      <c r="Q41" s="7"/>
      <c r="R41" s="7"/>
      <c r="S41" s="7"/>
      <c r="T41" s="7"/>
      <c r="U41" s="17"/>
    </row>
    <row r="42" spans="1:21">
      <c r="A42" t="s">
        <v>36</v>
      </c>
      <c r="B42" s="10">
        <v>0</v>
      </c>
      <c r="C42" s="7">
        <v>0</v>
      </c>
      <c r="D42" s="7">
        <v>723232.89099753904</v>
      </c>
      <c r="E42" s="7">
        <v>0</v>
      </c>
      <c r="F42" s="17">
        <f t="shared" si="1"/>
        <v>723232.89099753904</v>
      </c>
      <c r="K42" s="10">
        <v>147600</v>
      </c>
      <c r="L42" s="7">
        <v>21200</v>
      </c>
      <c r="M42" s="7"/>
      <c r="N42" s="7">
        <v>0</v>
      </c>
      <c r="O42" s="7">
        <v>0</v>
      </c>
      <c r="P42" s="7"/>
      <c r="Q42" s="7">
        <v>1472400</v>
      </c>
      <c r="R42" s="7">
        <v>818800</v>
      </c>
      <c r="S42" s="7"/>
      <c r="T42" s="7">
        <v>0</v>
      </c>
      <c r="U42" s="17">
        <v>0</v>
      </c>
    </row>
    <row r="43" spans="1:21">
      <c r="A43" t="s">
        <v>37</v>
      </c>
      <c r="B43" s="10">
        <v>0</v>
      </c>
      <c r="C43" s="7">
        <v>0</v>
      </c>
      <c r="D43" s="7">
        <v>238.49006963862075</v>
      </c>
      <c r="E43" s="7">
        <v>0</v>
      </c>
      <c r="F43" s="17">
        <f t="shared" si="1"/>
        <v>238.49006963862075</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1106.7388816819803</v>
      </c>
      <c r="E47" s="7">
        <v>0</v>
      </c>
      <c r="F47" s="17">
        <f t="shared" si="1"/>
        <v>1106.7388816819803</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28.177815707401074</v>
      </c>
      <c r="E49" s="7">
        <v>0</v>
      </c>
      <c r="F49" s="17">
        <f t="shared" si="1"/>
        <v>28.177815707401074</v>
      </c>
      <c r="K49" s="10"/>
      <c r="L49" s="7"/>
      <c r="M49" s="7"/>
      <c r="N49" s="7"/>
      <c r="O49" s="7"/>
      <c r="P49" s="7"/>
      <c r="Q49" s="7"/>
      <c r="R49" s="7"/>
      <c r="S49" s="7"/>
      <c r="T49" s="7"/>
      <c r="U49" s="17"/>
    </row>
    <row r="50" spans="1:21">
      <c r="A50" t="s">
        <v>44</v>
      </c>
      <c r="B50" s="10">
        <v>0</v>
      </c>
      <c r="C50" s="7">
        <v>0</v>
      </c>
      <c r="D50" s="7">
        <v>1088410.3124340898</v>
      </c>
      <c r="E50" s="7">
        <v>0</v>
      </c>
      <c r="F50" s="17">
        <f t="shared" si="1"/>
        <v>1088410.3124340898</v>
      </c>
      <c r="K50" s="10">
        <v>315058</v>
      </c>
      <c r="L50" s="7">
        <v>190587</v>
      </c>
      <c r="M50" s="7"/>
      <c r="N50" s="7">
        <v>0</v>
      </c>
      <c r="O50" s="7">
        <v>0</v>
      </c>
      <c r="P50" s="7"/>
      <c r="Q50" s="7">
        <v>2835522</v>
      </c>
      <c r="R50" s="7">
        <v>1715283</v>
      </c>
      <c r="S50" s="7"/>
      <c r="T50" s="7">
        <v>0</v>
      </c>
      <c r="U50" s="17">
        <v>0</v>
      </c>
    </row>
    <row r="51" spans="1:21">
      <c r="A51" t="s">
        <v>45</v>
      </c>
      <c r="B51" s="10">
        <v>0</v>
      </c>
      <c r="C51" s="7">
        <v>0</v>
      </c>
      <c r="D51" s="7">
        <v>58.138540315372666</v>
      </c>
      <c r="E51" s="7">
        <v>0</v>
      </c>
      <c r="F51" s="17">
        <f t="shared" si="1"/>
        <v>58.138540315372666</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-95</v>
      </c>
      <c r="E53" s="7">
        <v>0</v>
      </c>
      <c r="F53" s="17">
        <f t="shared" si="1"/>
        <v>-95</v>
      </c>
      <c r="K53" s="10">
        <v>3200</v>
      </c>
      <c r="L53" s="7">
        <v>0</v>
      </c>
      <c r="M53" s="7"/>
      <c r="N53" s="7">
        <v>0</v>
      </c>
      <c r="O53" s="7">
        <v>0</v>
      </c>
      <c r="P53" s="7"/>
      <c r="Q53" s="7">
        <v>0</v>
      </c>
      <c r="R53" s="7">
        <v>0</v>
      </c>
      <c r="S53" s="7"/>
      <c r="T53" s="7">
        <v>0</v>
      </c>
      <c r="U53" s="17">
        <v>0</v>
      </c>
    </row>
    <row r="54" spans="1:21">
      <c r="A54" t="s">
        <v>48</v>
      </c>
      <c r="B54" s="10">
        <v>0</v>
      </c>
      <c r="C54" s="7">
        <v>0</v>
      </c>
      <c r="D54" s="7">
        <v>461.5211408475443</v>
      </c>
      <c r="E54" s="7">
        <v>0</v>
      </c>
      <c r="F54" s="17">
        <f t="shared" si="1"/>
        <v>461.5211408475443</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23.611997906262445</v>
      </c>
      <c r="E57" s="7">
        <v>0</v>
      </c>
      <c r="F57" s="17">
        <f t="shared" si="1"/>
        <v>23.611997906262445</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4050017.1599999992</v>
      </c>
      <c r="E60" s="7">
        <f>SUM(E6:E58)</f>
        <v>0</v>
      </c>
      <c r="F60" s="17">
        <f>SUM(F6:F58)</f>
        <v>4050017.1599999992</v>
      </c>
      <c r="K60" s="10">
        <f>SUM(K6:K58)</f>
        <v>645876</v>
      </c>
      <c r="L60" s="7">
        <f>SUM(L6:L58)</f>
        <v>211787</v>
      </c>
      <c r="M60" s="7"/>
      <c r="N60" s="7">
        <f>SUM(N6:N58)</f>
        <v>0</v>
      </c>
      <c r="O60" s="7">
        <f>SUM(O6:O58)</f>
        <v>0</v>
      </c>
      <c r="P60" s="7"/>
      <c r="Q60" s="7">
        <f>SUM(Q6:Q58)</f>
        <v>11548200</v>
      </c>
      <c r="R60" s="7">
        <f>SUM(R6:R58)</f>
        <v>2534083</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Italic"Statesman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86</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14593.082156257355</v>
      </c>
      <c r="C6" s="7">
        <v>1733.5281190996757</v>
      </c>
      <c r="D6" s="7">
        <v>0</v>
      </c>
      <c r="E6" s="7">
        <v>0</v>
      </c>
      <c r="F6" s="17">
        <f t="shared" ref="F6:F37" si="0">SUM(B6:E6)</f>
        <v>16326.61027535703</v>
      </c>
      <c r="K6" s="10">
        <v>1082000</v>
      </c>
      <c r="L6" s="7">
        <v>0</v>
      </c>
      <c r="M6" s="7"/>
      <c r="N6" s="7">
        <v>117801</v>
      </c>
      <c r="O6" s="7">
        <v>0</v>
      </c>
      <c r="P6" s="7"/>
      <c r="Q6" s="7">
        <v>0</v>
      </c>
      <c r="R6" s="7">
        <v>0</v>
      </c>
      <c r="S6" s="7"/>
      <c r="T6" s="7">
        <v>0</v>
      </c>
      <c r="U6" s="17">
        <v>0</v>
      </c>
    </row>
    <row r="7" spans="1:21">
      <c r="A7" t="s">
        <v>1</v>
      </c>
      <c r="B7" s="10">
        <v>1690.206406734138</v>
      </c>
      <c r="C7" s="7">
        <v>8763.6812565513465</v>
      </c>
      <c r="D7" s="7">
        <v>0</v>
      </c>
      <c r="E7" s="7">
        <v>0</v>
      </c>
      <c r="F7" s="17">
        <f t="shared" si="0"/>
        <v>10453.887663285484</v>
      </c>
      <c r="H7" s="22"/>
      <c r="I7" s="24"/>
      <c r="K7" s="10">
        <v>11000</v>
      </c>
      <c r="L7" s="7">
        <v>5200</v>
      </c>
      <c r="M7" s="7"/>
      <c r="N7" s="7">
        <v>36000</v>
      </c>
      <c r="O7" s="7">
        <v>20800</v>
      </c>
      <c r="P7" s="7"/>
      <c r="Q7" s="7">
        <v>0</v>
      </c>
      <c r="R7" s="7">
        <v>8000</v>
      </c>
      <c r="S7" s="7"/>
      <c r="T7" s="7">
        <v>0</v>
      </c>
      <c r="U7" s="17">
        <v>0</v>
      </c>
    </row>
    <row r="8" spans="1:21">
      <c r="A8" t="s">
        <v>2</v>
      </c>
      <c r="B8" s="10">
        <v>199651.0699774716</v>
      </c>
      <c r="C8" s="7">
        <v>-135407.24861939251</v>
      </c>
      <c r="D8" s="7">
        <v>0</v>
      </c>
      <c r="E8" s="7">
        <v>0</v>
      </c>
      <c r="F8" s="17">
        <f t="shared" si="0"/>
        <v>64243.821358079091</v>
      </c>
      <c r="H8" s="4" t="s">
        <v>64</v>
      </c>
      <c r="I8" s="13"/>
      <c r="K8" s="10">
        <v>847395</v>
      </c>
      <c r="L8" s="7">
        <v>0</v>
      </c>
      <c r="M8" s="7"/>
      <c r="N8" s="7">
        <v>484870</v>
      </c>
      <c r="O8" s="7">
        <v>0</v>
      </c>
      <c r="P8" s="7"/>
      <c r="Q8" s="7">
        <v>0</v>
      </c>
      <c r="R8" s="7">
        <v>0</v>
      </c>
      <c r="S8" s="7"/>
      <c r="T8" s="7">
        <v>0</v>
      </c>
      <c r="U8" s="17">
        <v>0</v>
      </c>
    </row>
    <row r="9" spans="1:21">
      <c r="A9" t="s">
        <v>3</v>
      </c>
      <c r="B9" s="10">
        <v>40870.636407367303</v>
      </c>
      <c r="C9" s="7">
        <v>-17788.572292544472</v>
      </c>
      <c r="D9" s="7">
        <v>0</v>
      </c>
      <c r="E9" s="7">
        <v>0</v>
      </c>
      <c r="F9" s="17">
        <f t="shared" si="0"/>
        <v>23082.064114822831</v>
      </c>
      <c r="H9" s="4"/>
      <c r="I9" s="13"/>
      <c r="K9" s="10">
        <v>1011744</v>
      </c>
      <c r="L9" s="7">
        <v>0</v>
      </c>
      <c r="M9" s="7"/>
      <c r="N9" s="7">
        <v>0</v>
      </c>
      <c r="O9" s="7">
        <v>0</v>
      </c>
      <c r="P9" s="7"/>
      <c r="Q9" s="7">
        <v>0</v>
      </c>
      <c r="R9" s="7">
        <v>0</v>
      </c>
      <c r="S9" s="7"/>
      <c r="T9" s="7">
        <v>0</v>
      </c>
      <c r="U9" s="17">
        <v>0</v>
      </c>
    </row>
    <row r="10" spans="1:21">
      <c r="A10" t="s">
        <v>4</v>
      </c>
      <c r="B10" s="10">
        <v>239358.70516426861</v>
      </c>
      <c r="C10" s="7">
        <v>9209.4852902411949</v>
      </c>
      <c r="D10" s="7">
        <v>0</v>
      </c>
      <c r="E10" s="7">
        <v>0</v>
      </c>
      <c r="F10" s="17">
        <f t="shared" si="0"/>
        <v>248568.19045450981</v>
      </c>
      <c r="H10" s="4" t="s">
        <v>65</v>
      </c>
      <c r="I10" s="14">
        <v>141366350.56000003</v>
      </c>
      <c r="K10" s="10">
        <v>6365000</v>
      </c>
      <c r="L10" s="7">
        <v>6300000</v>
      </c>
      <c r="M10" s="7"/>
      <c r="N10" s="7">
        <v>3135000</v>
      </c>
      <c r="O10" s="7">
        <v>3340000</v>
      </c>
      <c r="P10" s="7"/>
      <c r="Q10" s="7">
        <v>0</v>
      </c>
      <c r="R10" s="7">
        <v>0</v>
      </c>
      <c r="S10" s="7"/>
      <c r="T10" s="7">
        <v>0</v>
      </c>
      <c r="U10" s="17">
        <v>0</v>
      </c>
    </row>
    <row r="11" spans="1:21">
      <c r="A11" t="s">
        <v>5</v>
      </c>
      <c r="B11" s="10">
        <v>242403.19283731747</v>
      </c>
      <c r="C11" s="7">
        <v>20723.702899278142</v>
      </c>
      <c r="D11" s="7">
        <v>0</v>
      </c>
      <c r="E11" s="7">
        <v>0</v>
      </c>
      <c r="F11" s="17">
        <f t="shared" si="0"/>
        <v>263126.89573659562</v>
      </c>
      <c r="H11" s="4"/>
      <c r="I11" s="14"/>
      <c r="K11" s="10">
        <v>5700000</v>
      </c>
      <c r="L11" s="7">
        <v>15030160</v>
      </c>
      <c r="M11" s="7"/>
      <c r="N11" s="7">
        <v>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-16095.170247511531</v>
      </c>
      <c r="C13" s="7">
        <v>-7849.0990877746081</v>
      </c>
      <c r="D13" s="7">
        <v>59992.71</v>
      </c>
      <c r="E13" s="7">
        <v>0</v>
      </c>
      <c r="F13" s="17">
        <f t="shared" si="0"/>
        <v>36048.44066471386</v>
      </c>
      <c r="H13" s="4" t="s">
        <v>67</v>
      </c>
      <c r="I13" s="14">
        <v>3042199.1999999997</v>
      </c>
      <c r="K13" s="10">
        <v>361000</v>
      </c>
      <c r="L13" s="7">
        <v>0</v>
      </c>
      <c r="M13" s="7"/>
      <c r="N13" s="7">
        <v>114000</v>
      </c>
      <c r="O13" s="7">
        <v>0</v>
      </c>
      <c r="P13" s="7"/>
      <c r="Q13" s="7">
        <v>25000</v>
      </c>
      <c r="R13" s="7">
        <v>0</v>
      </c>
      <c r="S13" s="7"/>
      <c r="T13" s="7">
        <v>0</v>
      </c>
      <c r="U13" s="17">
        <v>0</v>
      </c>
    </row>
    <row r="14" spans="1:21">
      <c r="A14" t="s">
        <v>8</v>
      </c>
      <c r="B14" s="10">
        <v>5536.0889230996836</v>
      </c>
      <c r="C14" s="7">
        <v>3108.3473747698445</v>
      </c>
      <c r="D14" s="7">
        <v>0</v>
      </c>
      <c r="E14" s="7">
        <v>0</v>
      </c>
      <c r="F14" s="17">
        <f t="shared" si="0"/>
        <v>8644.4362978695281</v>
      </c>
      <c r="H14" s="4" t="s">
        <v>68</v>
      </c>
      <c r="I14" s="14">
        <v>2455021.1100000003</v>
      </c>
      <c r="K14" s="10">
        <v>200000</v>
      </c>
      <c r="L14" s="7">
        <v>194500</v>
      </c>
      <c r="M14" s="7"/>
      <c r="N14" s="7">
        <v>150000</v>
      </c>
      <c r="O14" s="7">
        <v>141500</v>
      </c>
      <c r="P14" s="7"/>
      <c r="Q14" s="7">
        <v>0</v>
      </c>
      <c r="R14" s="7">
        <v>0</v>
      </c>
      <c r="S14" s="7"/>
      <c r="T14" s="7">
        <v>0</v>
      </c>
      <c r="U14" s="17">
        <v>0</v>
      </c>
    </row>
    <row r="15" spans="1:21">
      <c r="A15" t="s">
        <v>9</v>
      </c>
      <c r="B15" s="10">
        <v>173414.70897478238</v>
      </c>
      <c r="C15" s="7">
        <v>91205.878556694835</v>
      </c>
      <c r="D15" s="7">
        <v>0</v>
      </c>
      <c r="E15" s="7">
        <v>0</v>
      </c>
      <c r="F15" s="17">
        <f t="shared" si="0"/>
        <v>264620.58753147721</v>
      </c>
      <c r="H15" s="4" t="s">
        <v>69</v>
      </c>
      <c r="I15" s="14">
        <v>1320345.0900000008</v>
      </c>
      <c r="K15" s="10">
        <v>5150000</v>
      </c>
      <c r="L15" s="7">
        <v>0</v>
      </c>
      <c r="M15" s="7"/>
      <c r="N15" s="7">
        <v>5000000</v>
      </c>
      <c r="O15" s="7">
        <v>0</v>
      </c>
      <c r="P15" s="7"/>
      <c r="Q15" s="7">
        <v>0</v>
      </c>
      <c r="R15" s="7">
        <v>0</v>
      </c>
      <c r="S15" s="7"/>
      <c r="T15" s="7">
        <v>0</v>
      </c>
      <c r="U15" s="17">
        <v>0</v>
      </c>
    </row>
    <row r="16" spans="1:21">
      <c r="A16" t="s">
        <v>10</v>
      </c>
      <c r="B16" s="10">
        <v>62245.463974142447</v>
      </c>
      <c r="C16" s="7">
        <v>31003.723820326384</v>
      </c>
      <c r="D16" s="7">
        <v>0</v>
      </c>
      <c r="E16" s="7">
        <v>0</v>
      </c>
      <c r="F16" s="17">
        <f t="shared" si="0"/>
        <v>93249.187794468831</v>
      </c>
      <c r="H16" s="4" t="s">
        <v>70</v>
      </c>
      <c r="I16" s="14">
        <v>0</v>
      </c>
      <c r="K16" s="10">
        <v>3383146</v>
      </c>
      <c r="L16" s="7">
        <v>0</v>
      </c>
      <c r="M16" s="7"/>
      <c r="N16" s="7">
        <v>1116854</v>
      </c>
      <c r="O16" s="7">
        <v>54811.68</v>
      </c>
      <c r="P16" s="7"/>
      <c r="Q16" s="7">
        <v>0</v>
      </c>
      <c r="R16" s="7">
        <v>0</v>
      </c>
      <c r="S16" s="7"/>
      <c r="T16" s="7">
        <v>0</v>
      </c>
      <c r="U16" s="17">
        <v>0</v>
      </c>
    </row>
    <row r="17" spans="1:21">
      <c r="A17" t="s">
        <v>11</v>
      </c>
      <c r="B17" s="10">
        <v>2385.7332359189604</v>
      </c>
      <c r="C17" s="7">
        <v>8637.2693897883582</v>
      </c>
      <c r="D17" s="7">
        <v>0</v>
      </c>
      <c r="E17" s="7">
        <v>0</v>
      </c>
      <c r="F17" s="17">
        <f t="shared" si="0"/>
        <v>11023.002625707319</v>
      </c>
      <c r="H17" s="4"/>
      <c r="I17" s="14"/>
      <c r="K17" s="10">
        <v>8116</v>
      </c>
      <c r="L17" s="7">
        <v>0</v>
      </c>
      <c r="M17" s="7"/>
      <c r="N17" s="7">
        <v>27842</v>
      </c>
      <c r="O17" s="7">
        <v>0</v>
      </c>
      <c r="P17" s="7"/>
      <c r="Q17" s="7">
        <v>118</v>
      </c>
      <c r="R17" s="7">
        <v>0</v>
      </c>
      <c r="S17" s="7"/>
      <c r="T17" s="7">
        <v>0</v>
      </c>
      <c r="U17" s="17">
        <v>0</v>
      </c>
    </row>
    <row r="18" spans="1:21">
      <c r="A18" t="s">
        <v>12</v>
      </c>
      <c r="B18" s="10">
        <v>45128.081264233682</v>
      </c>
      <c r="C18" s="7">
        <v>17142.513246389513</v>
      </c>
      <c r="D18" s="7">
        <v>0</v>
      </c>
      <c r="E18" s="7">
        <v>0</v>
      </c>
      <c r="F18" s="17">
        <f t="shared" si="0"/>
        <v>62270.594510623196</v>
      </c>
      <c r="H18" s="4" t="s">
        <v>71</v>
      </c>
      <c r="I18" s="14"/>
      <c r="K18" s="10">
        <v>1452565</v>
      </c>
      <c r="L18" s="7">
        <v>575959</v>
      </c>
      <c r="M18" s="7"/>
      <c r="N18" s="7">
        <v>47435</v>
      </c>
      <c r="O18" s="7">
        <v>0</v>
      </c>
      <c r="P18" s="7"/>
      <c r="Q18" s="7">
        <v>0</v>
      </c>
      <c r="R18" s="7">
        <v>0</v>
      </c>
      <c r="S18" s="7"/>
      <c r="T18" s="7">
        <v>0</v>
      </c>
      <c r="U18" s="17">
        <v>0</v>
      </c>
    </row>
    <row r="19" spans="1:21">
      <c r="A19" t="s">
        <v>13</v>
      </c>
      <c r="B19" s="10">
        <v>185547.80481854267</v>
      </c>
      <c r="C19" s="7">
        <v>126674.12953449134</v>
      </c>
      <c r="D19" s="7">
        <v>0</v>
      </c>
      <c r="E19" s="7">
        <v>0</v>
      </c>
      <c r="F19" s="17">
        <f t="shared" si="0"/>
        <v>312221.93435303401</v>
      </c>
      <c r="H19" s="4" t="s">
        <v>72</v>
      </c>
      <c r="I19" s="14">
        <v>9667531</v>
      </c>
      <c r="K19" s="10">
        <v>8250000</v>
      </c>
      <c r="L19" s="7">
        <v>7954109</v>
      </c>
      <c r="M19" s="7"/>
      <c r="N19" s="7">
        <v>3500000</v>
      </c>
      <c r="O19" s="7">
        <v>4076745</v>
      </c>
      <c r="P19" s="7"/>
      <c r="Q19" s="7">
        <v>0</v>
      </c>
      <c r="R19" s="7">
        <v>0</v>
      </c>
      <c r="S19" s="7"/>
      <c r="T19" s="7">
        <v>0</v>
      </c>
      <c r="U19" s="17">
        <v>0</v>
      </c>
    </row>
    <row r="20" spans="1:21">
      <c r="A20" t="s">
        <v>14</v>
      </c>
      <c r="B20" s="10">
        <v>223815.58132623043</v>
      </c>
      <c r="C20" s="7">
        <v>-95277.181485089939</v>
      </c>
      <c r="D20" s="7">
        <v>0</v>
      </c>
      <c r="E20" s="7">
        <v>0</v>
      </c>
      <c r="F20" s="17">
        <f t="shared" si="0"/>
        <v>128538.39984114049</v>
      </c>
      <c r="H20" s="4" t="s">
        <v>73</v>
      </c>
      <c r="I20" s="14">
        <v>2064096.2</v>
      </c>
      <c r="K20" s="10">
        <v>1994431</v>
      </c>
      <c r="L20" s="7">
        <v>0</v>
      </c>
      <c r="M20" s="7"/>
      <c r="N20" s="7">
        <v>0</v>
      </c>
      <c r="O20" s="7">
        <v>0</v>
      </c>
      <c r="P20" s="7"/>
      <c r="Q20" s="7">
        <v>0</v>
      </c>
      <c r="R20" s="7">
        <v>0</v>
      </c>
      <c r="S20" s="7"/>
      <c r="T20" s="7">
        <v>0</v>
      </c>
      <c r="U20" s="17">
        <v>0</v>
      </c>
    </row>
    <row r="21" spans="1:21">
      <c r="A21" t="s">
        <v>15</v>
      </c>
      <c r="B21" s="10">
        <v>22565.267531293444</v>
      </c>
      <c r="C21" s="7">
        <v>32447.103773943381</v>
      </c>
      <c r="D21" s="7">
        <v>0</v>
      </c>
      <c r="E21" s="7">
        <v>0</v>
      </c>
      <c r="F21" s="17">
        <f t="shared" si="0"/>
        <v>55012.371305236826</v>
      </c>
      <c r="H21" s="4" t="s">
        <v>74</v>
      </c>
      <c r="I21" s="14"/>
      <c r="K21" s="10">
        <v>1100000</v>
      </c>
      <c r="L21" s="7">
        <v>0</v>
      </c>
      <c r="M21" s="7"/>
      <c r="N21" s="7">
        <v>1200000</v>
      </c>
      <c r="O21" s="7">
        <v>0</v>
      </c>
      <c r="P21" s="7"/>
      <c r="Q21" s="7">
        <v>0</v>
      </c>
      <c r="R21" s="7">
        <v>0</v>
      </c>
      <c r="S21" s="7"/>
      <c r="T21" s="7">
        <v>0</v>
      </c>
      <c r="U21" s="17">
        <v>0</v>
      </c>
    </row>
    <row r="22" spans="1:21">
      <c r="A22" t="s">
        <v>16</v>
      </c>
      <c r="B22" s="10">
        <v>9436.1277148112422</v>
      </c>
      <c r="C22" s="7">
        <v>3857.2932770417101</v>
      </c>
      <c r="D22" s="7">
        <v>0</v>
      </c>
      <c r="E22" s="7">
        <v>0</v>
      </c>
      <c r="F22" s="17">
        <f t="shared" si="0"/>
        <v>13293.420991852952</v>
      </c>
      <c r="H22" s="4" t="s">
        <v>75</v>
      </c>
      <c r="I22" s="14">
        <v>16832492.000000007</v>
      </c>
      <c r="K22" s="10">
        <v>175000</v>
      </c>
      <c r="L22" s="7">
        <v>0</v>
      </c>
      <c r="M22" s="7"/>
      <c r="N22" s="7">
        <v>0</v>
      </c>
      <c r="O22" s="7">
        <v>0</v>
      </c>
      <c r="P22" s="7"/>
      <c r="Q22" s="7">
        <v>0</v>
      </c>
      <c r="R22" s="7">
        <v>0</v>
      </c>
      <c r="S22" s="7"/>
      <c r="T22" s="7">
        <v>0</v>
      </c>
      <c r="U22" s="17">
        <v>0</v>
      </c>
    </row>
    <row r="23" spans="1:21">
      <c r="A23" t="s">
        <v>17</v>
      </c>
      <c r="B23" s="10">
        <v>53485.920871518785</v>
      </c>
      <c r="C23" s="7">
        <v>13343.297371046618</v>
      </c>
      <c r="D23" s="7">
        <v>0</v>
      </c>
      <c r="E23" s="7">
        <v>0</v>
      </c>
      <c r="F23" s="17">
        <f t="shared" si="0"/>
        <v>66829.218242565403</v>
      </c>
      <c r="H23" s="4" t="s">
        <v>76</v>
      </c>
      <c r="I23" s="14"/>
      <c r="K23" s="10">
        <v>5527178</v>
      </c>
      <c r="L23" s="7">
        <v>1507251</v>
      </c>
      <c r="M23" s="7"/>
      <c r="N23" s="7">
        <v>882755</v>
      </c>
      <c r="O23" s="7">
        <v>445606</v>
      </c>
      <c r="P23" s="7"/>
      <c r="Q23" s="7">
        <v>0</v>
      </c>
      <c r="R23" s="7">
        <v>0</v>
      </c>
      <c r="S23" s="7"/>
      <c r="T23" s="7">
        <v>0</v>
      </c>
      <c r="U23" s="17">
        <v>0</v>
      </c>
    </row>
    <row r="24" spans="1:21">
      <c r="A24" t="s">
        <v>18</v>
      </c>
      <c r="B24" s="10">
        <v>0</v>
      </c>
      <c r="C24" s="7">
        <v>0</v>
      </c>
      <c r="D24" s="7">
        <v>0</v>
      </c>
      <c r="E24" s="7">
        <v>0</v>
      </c>
      <c r="F24" s="17">
        <f t="shared" si="0"/>
        <v>0</v>
      </c>
      <c r="H24" s="4" t="s">
        <v>77</v>
      </c>
      <c r="I24" s="14">
        <v>115036898.00000001</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68539.857209964888</v>
      </c>
      <c r="C26" s="7">
        <v>13539.29606783521</v>
      </c>
      <c r="D26" s="7">
        <v>0</v>
      </c>
      <c r="E26" s="7">
        <v>0</v>
      </c>
      <c r="F26" s="17">
        <f t="shared" si="0"/>
        <v>82079.153277800098</v>
      </c>
      <c r="H26" s="4" t="s">
        <v>78</v>
      </c>
      <c r="I26" s="14">
        <f>SUM(I10:I16)-SUM(I19:I24)</f>
        <v>4582898.7600000203</v>
      </c>
      <c r="K26" s="10">
        <v>1420000</v>
      </c>
      <c r="L26" s="7">
        <v>0</v>
      </c>
      <c r="M26" s="7"/>
      <c r="N26" s="7">
        <v>280000</v>
      </c>
      <c r="O26" s="7">
        <v>0</v>
      </c>
      <c r="P26" s="7"/>
      <c r="Q26" s="7">
        <v>0</v>
      </c>
      <c r="R26" s="7">
        <v>0</v>
      </c>
      <c r="S26" s="7"/>
      <c r="T26" s="7">
        <v>0</v>
      </c>
      <c r="U26" s="17">
        <v>0</v>
      </c>
    </row>
    <row r="27" spans="1:21">
      <c r="A27" t="s">
        <v>21</v>
      </c>
      <c r="B27" s="10">
        <v>4987.3051537330612</v>
      </c>
      <c r="C27" s="7">
        <v>2125.4744788692406</v>
      </c>
      <c r="D27" s="7">
        <v>0</v>
      </c>
      <c r="E27" s="7">
        <v>0</v>
      </c>
      <c r="F27" s="17">
        <f t="shared" si="0"/>
        <v>7112.7796326023017</v>
      </c>
      <c r="H27" s="4" t="s">
        <v>79</v>
      </c>
      <c r="I27" s="14">
        <f>+F60</f>
        <v>4582898.7599999839</v>
      </c>
      <c r="K27" s="10"/>
      <c r="L27" s="7"/>
      <c r="M27" s="7"/>
      <c r="N27" s="7"/>
      <c r="O27" s="7"/>
      <c r="P27" s="7"/>
      <c r="Q27" s="7"/>
      <c r="R27" s="7"/>
      <c r="S27" s="7"/>
      <c r="T27" s="7"/>
      <c r="U27" s="17"/>
    </row>
    <row r="28" spans="1:21">
      <c r="A28" t="s">
        <v>22</v>
      </c>
      <c r="B28" s="10">
        <v>1487.5769384524137</v>
      </c>
      <c r="C28" s="7">
        <v>46.853281013813444</v>
      </c>
      <c r="D28" s="7">
        <v>0</v>
      </c>
      <c r="E28" s="7">
        <v>0</v>
      </c>
      <c r="F28" s="17">
        <f t="shared" si="0"/>
        <v>1534.4302194662273</v>
      </c>
      <c r="H28" s="23"/>
      <c r="I28" s="25"/>
      <c r="K28" s="10"/>
      <c r="L28" s="7"/>
      <c r="M28" s="7"/>
      <c r="N28" s="7"/>
      <c r="O28" s="7"/>
      <c r="P28" s="7"/>
      <c r="Q28" s="7"/>
      <c r="R28" s="7"/>
      <c r="S28" s="7"/>
      <c r="T28" s="7"/>
      <c r="U28" s="17"/>
    </row>
    <row r="29" spans="1:21">
      <c r="A29" t="s">
        <v>23</v>
      </c>
      <c r="B29" s="10">
        <v>207268.59863927029</v>
      </c>
      <c r="C29" s="7">
        <v>278202.91911374778</v>
      </c>
      <c r="D29" s="7">
        <v>0</v>
      </c>
      <c r="E29" s="7">
        <v>0</v>
      </c>
      <c r="F29" s="17">
        <f t="shared" si="0"/>
        <v>485471.51775301807</v>
      </c>
      <c r="K29" s="10">
        <v>3800000</v>
      </c>
      <c r="L29" s="7">
        <v>0</v>
      </c>
      <c r="M29" s="7"/>
      <c r="N29" s="7">
        <v>5100000</v>
      </c>
      <c r="O29" s="7">
        <v>0</v>
      </c>
      <c r="P29" s="7"/>
      <c r="Q29" s="7">
        <v>0</v>
      </c>
      <c r="R29" s="7">
        <v>0</v>
      </c>
      <c r="S29" s="7"/>
      <c r="T29" s="7">
        <v>0</v>
      </c>
      <c r="U29" s="17">
        <v>0</v>
      </c>
    </row>
    <row r="30" spans="1:21">
      <c r="A30" t="s">
        <v>24</v>
      </c>
      <c r="B30" s="10">
        <v>41192.286384949926</v>
      </c>
      <c r="C30" s="7">
        <v>4385.4039458826883</v>
      </c>
      <c r="D30" s="7">
        <v>0</v>
      </c>
      <c r="E30" s="7">
        <v>0</v>
      </c>
      <c r="F30" s="17">
        <f t="shared" si="0"/>
        <v>45577.690330832615</v>
      </c>
      <c r="K30" s="10">
        <v>1431852</v>
      </c>
      <c r="L30" s="7">
        <v>0</v>
      </c>
      <c r="M30" s="7"/>
      <c r="N30" s="7">
        <v>268148</v>
      </c>
      <c r="O30" s="7">
        <v>0</v>
      </c>
      <c r="P30" s="7"/>
      <c r="Q30" s="7">
        <v>0</v>
      </c>
      <c r="R30" s="7">
        <v>0</v>
      </c>
      <c r="S30" s="7"/>
      <c r="T30" s="7">
        <v>0</v>
      </c>
      <c r="U30" s="17">
        <v>0</v>
      </c>
    </row>
    <row r="31" spans="1:21">
      <c r="A31" t="s">
        <v>25</v>
      </c>
      <c r="B31" s="10">
        <v>166360.71272060927</v>
      </c>
      <c r="C31" s="7">
        <v>-40832.404861477669</v>
      </c>
      <c r="D31" s="7">
        <v>0</v>
      </c>
      <c r="E31" s="7">
        <v>0</v>
      </c>
      <c r="F31" s="17">
        <f t="shared" si="0"/>
        <v>125528.3078591316</v>
      </c>
      <c r="K31" s="10">
        <v>1794890</v>
      </c>
      <c r="L31" s="7">
        <v>0</v>
      </c>
      <c r="M31" s="7"/>
      <c r="N31" s="7">
        <v>2035480</v>
      </c>
      <c r="O31" s="7">
        <v>0</v>
      </c>
      <c r="P31" s="7"/>
      <c r="Q31" s="7">
        <v>0</v>
      </c>
      <c r="R31" s="7">
        <v>0</v>
      </c>
      <c r="S31" s="7"/>
      <c r="T31" s="7">
        <v>0</v>
      </c>
      <c r="U31" s="17">
        <v>0</v>
      </c>
    </row>
    <row r="32" spans="1:21">
      <c r="A32" t="s">
        <v>26</v>
      </c>
      <c r="B32" s="10">
        <v>27047.645539010759</v>
      </c>
      <c r="C32" s="7">
        <v>7799.8044454080227</v>
      </c>
      <c r="D32" s="7">
        <v>0</v>
      </c>
      <c r="E32" s="7">
        <v>0</v>
      </c>
      <c r="F32" s="17">
        <f t="shared" si="0"/>
        <v>34847.449984418781</v>
      </c>
      <c r="K32" s="10">
        <v>616000</v>
      </c>
      <c r="L32" s="7">
        <v>0</v>
      </c>
      <c r="M32" s="7"/>
      <c r="N32" s="7">
        <v>184000</v>
      </c>
      <c r="O32" s="7">
        <v>0</v>
      </c>
      <c r="P32" s="7"/>
      <c r="Q32" s="7">
        <v>0</v>
      </c>
      <c r="R32" s="7">
        <v>0</v>
      </c>
      <c r="S32" s="7"/>
      <c r="T32" s="7">
        <v>0</v>
      </c>
      <c r="U32" s="17">
        <v>0</v>
      </c>
    </row>
    <row r="33" spans="1:21">
      <c r="A33" t="s">
        <v>27</v>
      </c>
      <c r="B33" s="10">
        <v>22090.885294097592</v>
      </c>
      <c r="C33" s="7">
        <v>14127.373326002911</v>
      </c>
      <c r="D33" s="7">
        <v>0</v>
      </c>
      <c r="E33" s="7">
        <v>0</v>
      </c>
      <c r="F33" s="17">
        <f t="shared" si="0"/>
        <v>36218.258620100503</v>
      </c>
      <c r="K33" s="10">
        <v>891000</v>
      </c>
      <c r="L33" s="7">
        <v>395035</v>
      </c>
      <c r="M33" s="7"/>
      <c r="N33" s="7">
        <v>315115</v>
      </c>
      <c r="O33" s="7">
        <v>274965</v>
      </c>
      <c r="P33" s="7"/>
      <c r="Q33" s="7">
        <v>0</v>
      </c>
      <c r="R33" s="7">
        <v>0</v>
      </c>
      <c r="S33" s="7"/>
      <c r="T33" s="7">
        <v>0</v>
      </c>
      <c r="U33" s="17">
        <v>0</v>
      </c>
    </row>
    <row r="34" spans="1:21">
      <c r="A34" t="s">
        <v>28</v>
      </c>
      <c r="B34" s="10">
        <v>65792.542459170567</v>
      </c>
      <c r="C34" s="7">
        <v>-6055.9125452285807</v>
      </c>
      <c r="D34" s="7">
        <v>0</v>
      </c>
      <c r="E34" s="7">
        <v>0</v>
      </c>
      <c r="F34" s="17">
        <f t="shared" si="0"/>
        <v>59736.629913941986</v>
      </c>
      <c r="K34" s="10">
        <v>1331000</v>
      </c>
      <c r="L34" s="7">
        <v>337000</v>
      </c>
      <c r="M34" s="7"/>
      <c r="N34" s="7">
        <v>229000</v>
      </c>
      <c r="O34" s="7">
        <v>55000</v>
      </c>
      <c r="P34" s="7"/>
      <c r="Q34" s="7">
        <v>0</v>
      </c>
      <c r="R34" s="7">
        <v>0</v>
      </c>
      <c r="S34" s="7"/>
      <c r="T34" s="7">
        <v>0</v>
      </c>
      <c r="U34" s="17">
        <v>0</v>
      </c>
    </row>
    <row r="35" spans="1:21">
      <c r="A35" t="s">
        <v>29</v>
      </c>
      <c r="B35" s="10">
        <v>3302.5905726521451</v>
      </c>
      <c r="C35" s="7">
        <v>112.52984338817532</v>
      </c>
      <c r="D35" s="7">
        <v>0</v>
      </c>
      <c r="E35" s="7">
        <v>0</v>
      </c>
      <c r="F35" s="17">
        <f t="shared" si="0"/>
        <v>3415.1204160403204</v>
      </c>
      <c r="K35" s="10">
        <v>150000</v>
      </c>
      <c r="L35" s="7">
        <v>0</v>
      </c>
      <c r="M35" s="7"/>
      <c r="N35" s="7">
        <v>0</v>
      </c>
      <c r="O35" s="7">
        <v>0</v>
      </c>
      <c r="P35" s="7"/>
      <c r="Q35" s="7">
        <v>0</v>
      </c>
      <c r="R35" s="7">
        <v>0</v>
      </c>
      <c r="S35" s="7"/>
      <c r="T35" s="7">
        <v>0</v>
      </c>
      <c r="U35" s="17">
        <v>0</v>
      </c>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31689.580200642871</v>
      </c>
      <c r="C37" s="7">
        <v>35480.65649004298</v>
      </c>
      <c r="D37" s="7">
        <v>0</v>
      </c>
      <c r="E37" s="7">
        <v>0</v>
      </c>
      <c r="F37" s="17">
        <f t="shared" si="0"/>
        <v>67170.236690685851</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68947.757024107035</v>
      </c>
      <c r="C39" s="7">
        <v>9015.9391975094331</v>
      </c>
      <c r="D39" s="7">
        <v>-444.17</v>
      </c>
      <c r="E39" s="7">
        <v>0</v>
      </c>
      <c r="F39" s="17">
        <f t="shared" si="1"/>
        <v>77519.52622161647</v>
      </c>
      <c r="K39" s="10"/>
      <c r="L39" s="7"/>
      <c r="M39" s="7"/>
      <c r="N39" s="7"/>
      <c r="O39" s="7"/>
      <c r="P39" s="7"/>
      <c r="Q39" s="7"/>
      <c r="R39" s="7"/>
      <c r="S39" s="7"/>
      <c r="T39" s="7"/>
      <c r="U39" s="17"/>
    </row>
    <row r="40" spans="1:21">
      <c r="A40" t="s">
        <v>34</v>
      </c>
      <c r="B40" s="10">
        <v>13324.146867564064</v>
      </c>
      <c r="C40" s="7">
        <v>8519.02030757186</v>
      </c>
      <c r="D40" s="7">
        <v>0</v>
      </c>
      <c r="E40" s="7">
        <v>0</v>
      </c>
      <c r="F40" s="17">
        <f t="shared" si="1"/>
        <v>21843.167175135924</v>
      </c>
      <c r="K40" s="10">
        <v>442600</v>
      </c>
      <c r="L40" s="7">
        <v>423000</v>
      </c>
      <c r="M40" s="7"/>
      <c r="N40" s="7">
        <v>282400</v>
      </c>
      <c r="O40" s="7">
        <v>214000</v>
      </c>
      <c r="P40" s="7"/>
      <c r="Q40" s="7">
        <v>0</v>
      </c>
      <c r="R40" s="7">
        <v>0</v>
      </c>
      <c r="S40" s="7"/>
      <c r="T40" s="7">
        <v>0</v>
      </c>
      <c r="U40" s="17">
        <v>0</v>
      </c>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52525.532447769772</v>
      </c>
      <c r="C42" s="7">
        <v>125475.39455758175</v>
      </c>
      <c r="D42" s="7">
        <v>0</v>
      </c>
      <c r="E42" s="7">
        <v>0</v>
      </c>
      <c r="F42" s="17">
        <f t="shared" si="1"/>
        <v>178000.92700535152</v>
      </c>
      <c r="K42" s="10">
        <v>560000</v>
      </c>
      <c r="L42" s="7">
        <v>501200</v>
      </c>
      <c r="M42" s="7"/>
      <c r="N42" s="7">
        <v>1440000</v>
      </c>
      <c r="O42" s="7">
        <v>1288800</v>
      </c>
      <c r="P42" s="7"/>
      <c r="Q42" s="7">
        <v>0</v>
      </c>
      <c r="R42" s="7">
        <v>0</v>
      </c>
      <c r="S42" s="7"/>
      <c r="T42" s="7">
        <v>0</v>
      </c>
      <c r="U42" s="17">
        <v>0</v>
      </c>
    </row>
    <row r="43" spans="1:21">
      <c r="A43" t="s">
        <v>37</v>
      </c>
      <c r="B43" s="10">
        <v>50208.699519132497</v>
      </c>
      <c r="C43" s="7">
        <v>15751.116592626669</v>
      </c>
      <c r="D43" s="7">
        <v>0</v>
      </c>
      <c r="E43" s="7">
        <v>0</v>
      </c>
      <c r="F43" s="17">
        <f t="shared" si="1"/>
        <v>65959.816111759166</v>
      </c>
      <c r="K43" s="10">
        <v>2446348</v>
      </c>
      <c r="L43" s="7">
        <v>0</v>
      </c>
      <c r="M43" s="7"/>
      <c r="N43" s="7">
        <v>726253</v>
      </c>
      <c r="O43" s="7">
        <v>0</v>
      </c>
      <c r="P43" s="7"/>
      <c r="Q43" s="7">
        <v>0</v>
      </c>
      <c r="R43" s="7">
        <v>0</v>
      </c>
      <c r="S43" s="7"/>
      <c r="T43" s="7">
        <v>0</v>
      </c>
      <c r="U43" s="17">
        <v>0</v>
      </c>
    </row>
    <row r="44" spans="1:21">
      <c r="A44" t="s">
        <v>38</v>
      </c>
      <c r="B44" s="10">
        <v>276146.33529866766</v>
      </c>
      <c r="C44" s="7">
        <v>-77397.612183478661</v>
      </c>
      <c r="D44" s="7">
        <v>0</v>
      </c>
      <c r="E44" s="7">
        <v>0</v>
      </c>
      <c r="F44" s="17">
        <f t="shared" si="1"/>
        <v>198748.723115189</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566.42288297074992</v>
      </c>
      <c r="C46" s="7">
        <v>8.2786937162156278</v>
      </c>
      <c r="D46" s="7">
        <v>0</v>
      </c>
      <c r="E46" s="7">
        <v>0</v>
      </c>
      <c r="F46" s="17">
        <f t="shared" si="1"/>
        <v>574.70157668696561</v>
      </c>
      <c r="K46" s="10"/>
      <c r="L46" s="7"/>
      <c r="M46" s="7"/>
      <c r="N46" s="7"/>
      <c r="O46" s="7"/>
      <c r="P46" s="7"/>
      <c r="Q46" s="7"/>
      <c r="R46" s="7"/>
      <c r="S46" s="7"/>
      <c r="T46" s="7"/>
      <c r="U46" s="17"/>
    </row>
    <row r="47" spans="1:21">
      <c r="A47" t="s">
        <v>41</v>
      </c>
      <c r="B47" s="10">
        <v>468104.86963697756</v>
      </c>
      <c r="C47" s="7">
        <v>121531.40771487029</v>
      </c>
      <c r="D47" s="7">
        <v>0</v>
      </c>
      <c r="E47" s="7">
        <v>0</v>
      </c>
      <c r="F47" s="17">
        <f t="shared" si="1"/>
        <v>589636.27735184785</v>
      </c>
      <c r="K47" s="10">
        <v>1960000</v>
      </c>
      <c r="L47" s="7">
        <v>0</v>
      </c>
      <c r="M47" s="7"/>
      <c r="N47" s="7">
        <v>840000</v>
      </c>
      <c r="O47" s="7">
        <v>0</v>
      </c>
      <c r="P47" s="7"/>
      <c r="Q47" s="7">
        <v>0</v>
      </c>
      <c r="R47" s="7">
        <v>0</v>
      </c>
      <c r="S47" s="7"/>
      <c r="T47" s="7">
        <v>0</v>
      </c>
      <c r="U47" s="17">
        <v>0</v>
      </c>
    </row>
    <row r="48" spans="1:21">
      <c r="A48" t="s">
        <v>42</v>
      </c>
      <c r="B48" s="10">
        <v>9280.3725882806466</v>
      </c>
      <c r="C48" s="7">
        <v>4533.5107093642582</v>
      </c>
      <c r="D48" s="7">
        <v>0</v>
      </c>
      <c r="E48" s="7">
        <v>0</v>
      </c>
      <c r="F48" s="17">
        <f t="shared" si="1"/>
        <v>13813.883297644905</v>
      </c>
      <c r="K48" s="10">
        <v>299991</v>
      </c>
      <c r="L48" s="7">
        <v>0</v>
      </c>
      <c r="M48" s="7"/>
      <c r="N48" s="7">
        <v>156000</v>
      </c>
      <c r="O48" s="7">
        <v>0</v>
      </c>
      <c r="P48" s="7"/>
      <c r="Q48" s="7">
        <v>0</v>
      </c>
      <c r="R48" s="7">
        <v>0</v>
      </c>
      <c r="S48" s="7"/>
      <c r="T48" s="7">
        <v>0</v>
      </c>
      <c r="U48" s="17">
        <v>0</v>
      </c>
    </row>
    <row r="49" spans="1:21">
      <c r="A49" t="s">
        <v>43</v>
      </c>
      <c r="B49" s="10">
        <v>971.18412535171956</v>
      </c>
      <c r="C49" s="7">
        <v>94025.573960959795</v>
      </c>
      <c r="D49" s="7">
        <v>0</v>
      </c>
      <c r="E49" s="7">
        <v>0</v>
      </c>
      <c r="F49" s="17">
        <f t="shared" si="1"/>
        <v>94996.758086311514</v>
      </c>
      <c r="K49" s="10">
        <v>2050000</v>
      </c>
      <c r="L49" s="7">
        <v>0</v>
      </c>
      <c r="M49" s="7"/>
      <c r="N49" s="7">
        <v>750000</v>
      </c>
      <c r="O49" s="7">
        <v>0</v>
      </c>
      <c r="P49" s="7"/>
      <c r="Q49" s="7">
        <v>0</v>
      </c>
      <c r="R49" s="7">
        <v>0</v>
      </c>
      <c r="S49" s="7"/>
      <c r="T49" s="7">
        <v>0</v>
      </c>
      <c r="U49" s="17">
        <v>0</v>
      </c>
    </row>
    <row r="50" spans="1:21">
      <c r="A50" t="s">
        <v>44</v>
      </c>
      <c r="B50" s="10">
        <v>143656.95766282105</v>
      </c>
      <c r="C50" s="7">
        <v>222943.50292147603</v>
      </c>
      <c r="D50" s="7">
        <v>0</v>
      </c>
      <c r="E50" s="7">
        <v>0</v>
      </c>
      <c r="F50" s="17">
        <f t="shared" si="1"/>
        <v>366600.46058429708</v>
      </c>
      <c r="K50" s="10">
        <v>2765448</v>
      </c>
      <c r="L50" s="7">
        <v>2298097.341364</v>
      </c>
      <c r="M50" s="7"/>
      <c r="N50" s="7">
        <v>419087</v>
      </c>
      <c r="O50" s="7">
        <v>348261.36863599997</v>
      </c>
      <c r="P50" s="7"/>
      <c r="Q50" s="7">
        <v>0</v>
      </c>
      <c r="R50" s="7">
        <v>0</v>
      </c>
      <c r="S50" s="7"/>
      <c r="T50" s="7">
        <v>0</v>
      </c>
      <c r="U50" s="17">
        <v>0</v>
      </c>
    </row>
    <row r="51" spans="1:21">
      <c r="A51" t="s">
        <v>45</v>
      </c>
      <c r="B51" s="10">
        <v>55906.677028060367</v>
      </c>
      <c r="C51" s="7">
        <v>51244.384492350277</v>
      </c>
      <c r="D51" s="7">
        <v>0</v>
      </c>
      <c r="E51" s="7">
        <v>0</v>
      </c>
      <c r="F51" s="17">
        <f t="shared" si="1"/>
        <v>107151.06152041064</v>
      </c>
      <c r="K51" s="10">
        <v>421547</v>
      </c>
      <c r="L51" s="7">
        <v>0</v>
      </c>
      <c r="M51" s="7"/>
      <c r="N51" s="7">
        <v>283452</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47392.637482349761</v>
      </c>
      <c r="C53" s="7">
        <v>20389.448366824305</v>
      </c>
      <c r="D53" s="7">
        <v>8022.24</v>
      </c>
      <c r="E53" s="7">
        <v>0</v>
      </c>
      <c r="F53" s="17">
        <f t="shared" si="1"/>
        <v>75804.325849174071</v>
      </c>
      <c r="K53" s="10">
        <v>2131843</v>
      </c>
      <c r="L53" s="7">
        <v>1763245</v>
      </c>
      <c r="M53" s="7"/>
      <c r="N53" s="7">
        <v>979596</v>
      </c>
      <c r="O53" s="7">
        <v>794786</v>
      </c>
      <c r="P53" s="7"/>
      <c r="Q53" s="7">
        <v>4700</v>
      </c>
      <c r="R53" s="7">
        <v>0</v>
      </c>
      <c r="S53" s="7"/>
      <c r="T53" s="7">
        <v>0</v>
      </c>
      <c r="U53" s="17">
        <v>0</v>
      </c>
    </row>
    <row r="54" spans="1:21">
      <c r="A54" t="s">
        <v>48</v>
      </c>
      <c r="B54" s="10">
        <v>264193.85884912359</v>
      </c>
      <c r="C54" s="7">
        <v>-143868.71157937427</v>
      </c>
      <c r="D54" s="7">
        <v>0</v>
      </c>
      <c r="E54" s="7">
        <v>0</v>
      </c>
      <c r="F54" s="17">
        <f t="shared" si="1"/>
        <v>120325.14726974932</v>
      </c>
      <c r="K54" s="10">
        <v>3200000</v>
      </c>
      <c r="L54" s="7">
        <v>1200000</v>
      </c>
      <c r="M54" s="7"/>
      <c r="N54" s="7">
        <v>1100000</v>
      </c>
      <c r="O54" s="7">
        <v>1200000</v>
      </c>
      <c r="P54" s="7"/>
      <c r="Q54" s="7">
        <v>0</v>
      </c>
      <c r="R54" s="7">
        <v>0</v>
      </c>
      <c r="S54" s="7"/>
      <c r="T54" s="7">
        <v>0</v>
      </c>
      <c r="U54" s="17">
        <v>0</v>
      </c>
    </row>
    <row r="55" spans="1:21">
      <c r="A55" t="s">
        <v>49</v>
      </c>
      <c r="B55" s="10">
        <v>114817.68165331089</v>
      </c>
      <c r="C55" s="7">
        <v>-94812.640785627649</v>
      </c>
      <c r="D55" s="7">
        <v>5460.32</v>
      </c>
      <c r="E55" s="7">
        <v>0</v>
      </c>
      <c r="F55" s="17">
        <f t="shared" si="1"/>
        <v>25465.360867683245</v>
      </c>
      <c r="K55" s="10">
        <v>515621</v>
      </c>
      <c r="L55" s="7">
        <v>503796</v>
      </c>
      <c r="M55" s="7"/>
      <c r="N55" s="7">
        <v>221407</v>
      </c>
      <c r="O55" s="7">
        <v>251424</v>
      </c>
      <c r="P55" s="7"/>
      <c r="Q55" s="7">
        <v>50000</v>
      </c>
      <c r="R55" s="7">
        <v>103672</v>
      </c>
      <c r="S55" s="7"/>
      <c r="T55" s="7">
        <v>0</v>
      </c>
      <c r="U55" s="17">
        <v>0</v>
      </c>
    </row>
    <row r="56" spans="1:21">
      <c r="A56" t="s">
        <v>50</v>
      </c>
      <c r="B56" s="10">
        <v>7038.8223771407502</v>
      </c>
      <c r="C56" s="7">
        <v>5817.1928903999215</v>
      </c>
      <c r="D56" s="7">
        <v>0</v>
      </c>
      <c r="E56" s="7">
        <v>0</v>
      </c>
      <c r="F56" s="17">
        <f t="shared" si="1"/>
        <v>12856.015267540672</v>
      </c>
      <c r="K56" s="10">
        <v>200000</v>
      </c>
      <c r="L56" s="7">
        <v>0</v>
      </c>
      <c r="M56" s="7"/>
      <c r="N56" s="7">
        <v>250000</v>
      </c>
      <c r="O56" s="7">
        <v>0</v>
      </c>
      <c r="P56" s="7"/>
      <c r="Q56" s="7">
        <v>0</v>
      </c>
      <c r="R56" s="7">
        <v>0</v>
      </c>
      <c r="S56" s="7"/>
      <c r="T56" s="7">
        <v>0</v>
      </c>
      <c r="U56" s="17">
        <v>0</v>
      </c>
    </row>
    <row r="57" spans="1:21">
      <c r="A57" t="s">
        <v>51</v>
      </c>
      <c r="B57" s="10">
        <v>3828.4598341723613</v>
      </c>
      <c r="C57" s="7">
        <v>3529.5104060347803</v>
      </c>
      <c r="D57" s="7">
        <v>0</v>
      </c>
      <c r="E57" s="7">
        <v>0</v>
      </c>
      <c r="F57" s="17">
        <f t="shared" si="1"/>
        <v>7357.9702402071416</v>
      </c>
      <c r="K57" s="10">
        <v>0</v>
      </c>
      <c r="L57" s="7">
        <v>389679</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3722702.4977268321</v>
      </c>
      <c r="C60" s="7">
        <f>SUM(C6:C58)</f>
        <v>787165.16227315052</v>
      </c>
      <c r="D60" s="7">
        <f>SUM(D6:D58)</f>
        <v>73031.100000000006</v>
      </c>
      <c r="E60" s="7">
        <f>SUM(E6:E58)</f>
        <v>0</v>
      </c>
      <c r="F60" s="17">
        <f>SUM(F6:F58)</f>
        <v>4582898.7599999839</v>
      </c>
      <c r="K60" s="10">
        <f>SUM(K6:K58)</f>
        <v>71046715</v>
      </c>
      <c r="L60" s="7">
        <f>SUM(L6:L58)</f>
        <v>39378231.341363996</v>
      </c>
      <c r="M60" s="7"/>
      <c r="N60" s="7">
        <f>SUM(N6:N58)</f>
        <v>31672495</v>
      </c>
      <c r="O60" s="7">
        <f>SUM(O6:O58)</f>
        <v>12506699.048636001</v>
      </c>
      <c r="P60" s="7"/>
      <c r="Q60" s="7">
        <f>SUM(Q6:Q58)</f>
        <v>79818</v>
      </c>
      <c r="R60" s="7">
        <f>SUM(R6:R58)</f>
        <v>111672</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Italic"Summit 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85</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2144.8150541060795</v>
      </c>
      <c r="C10" s="7">
        <v>0</v>
      </c>
      <c r="D10" s="7">
        <v>193.16080260303329</v>
      </c>
      <c r="E10" s="7">
        <v>0</v>
      </c>
      <c r="F10" s="17">
        <f t="shared" si="0"/>
        <v>2337.975856709113</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1496.6945632896914</v>
      </c>
      <c r="C14" s="7">
        <v>0</v>
      </c>
      <c r="D14" s="7">
        <v>304.01403529643284</v>
      </c>
      <c r="E14" s="7">
        <v>0</v>
      </c>
      <c r="F14" s="17">
        <f t="shared" si="0"/>
        <v>1800.7085985861243</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44823.729999999981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11758.302914832982</v>
      </c>
      <c r="C19" s="7">
        <v>0</v>
      </c>
      <c r="D19" s="7">
        <v>6770.8159078434128</v>
      </c>
      <c r="E19" s="7">
        <v>0</v>
      </c>
      <c r="F19" s="17">
        <f t="shared" si="0"/>
        <v>18529.118822676395</v>
      </c>
      <c r="H19" s="4" t="s">
        <v>72</v>
      </c>
      <c r="I19" s="14">
        <v>0</v>
      </c>
      <c r="K19" s="10">
        <v>80000</v>
      </c>
      <c r="L19" s="7">
        <v>54000</v>
      </c>
      <c r="M19" s="7"/>
      <c r="N19" s="7">
        <v>0</v>
      </c>
      <c r="O19" s="7">
        <v>0</v>
      </c>
      <c r="P19" s="7"/>
      <c r="Q19" s="7">
        <v>20000</v>
      </c>
      <c r="R19" s="7">
        <v>24000</v>
      </c>
      <c r="S19" s="7"/>
      <c r="T19" s="7">
        <v>0</v>
      </c>
      <c r="U19" s="17">
        <v>0</v>
      </c>
    </row>
    <row r="20" spans="1:21">
      <c r="A20" t="s">
        <v>14</v>
      </c>
      <c r="B20" s="10">
        <v>1505.6423055640666</v>
      </c>
      <c r="C20" s="7">
        <v>0</v>
      </c>
      <c r="D20" s="7">
        <v>372.25402764842261</v>
      </c>
      <c r="E20" s="7">
        <v>0</v>
      </c>
      <c r="F20" s="17">
        <f t="shared" si="0"/>
        <v>1877.8963332124893</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1739.6366167764697</v>
      </c>
      <c r="C23" s="7">
        <v>0</v>
      </c>
      <c r="D23" s="7">
        <v>800.44922928325752</v>
      </c>
      <c r="E23" s="7">
        <v>0</v>
      </c>
      <c r="F23" s="17">
        <f t="shared" si="0"/>
        <v>2540.0858460597274</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1509.3448161053402</v>
      </c>
      <c r="C26" s="7">
        <v>0</v>
      </c>
      <c r="D26" s="7">
        <v>133.94142896648674</v>
      </c>
      <c r="E26" s="7">
        <v>0</v>
      </c>
      <c r="F26" s="17">
        <f t="shared" si="0"/>
        <v>1643.2862450718269</v>
      </c>
      <c r="H26" s="4" t="s">
        <v>78</v>
      </c>
      <c r="I26" s="14">
        <f>SUM(I10:I16)-SUM(I19:I24)</f>
        <v>44823.729999999981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44823.73</v>
      </c>
      <c r="K27" s="10"/>
      <c r="L27" s="7"/>
      <c r="M27" s="7"/>
      <c r="N27" s="7"/>
      <c r="O27" s="7"/>
      <c r="P27" s="7"/>
      <c r="Q27" s="7"/>
      <c r="R27" s="7"/>
      <c r="S27" s="7"/>
      <c r="T27" s="7"/>
      <c r="U27" s="17"/>
    </row>
    <row r="28" spans="1:21">
      <c r="A28" t="s">
        <v>22</v>
      </c>
      <c r="B28" s="10">
        <v>2349.1549721184329</v>
      </c>
      <c r="C28" s="7">
        <v>0</v>
      </c>
      <c r="D28" s="7">
        <v>351.40011171715918</v>
      </c>
      <c r="E28" s="7">
        <v>0</v>
      </c>
      <c r="F28" s="17">
        <f t="shared" si="0"/>
        <v>2700.5550838355921</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566.11397405515947</v>
      </c>
      <c r="C31" s="7">
        <v>0</v>
      </c>
      <c r="D31" s="7">
        <v>184.43518237752286</v>
      </c>
      <c r="E31" s="7">
        <v>0</v>
      </c>
      <c r="F31" s="17">
        <f t="shared" si="0"/>
        <v>750.54915643268237</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8789.0832171907205</v>
      </c>
      <c r="C41" s="7">
        <v>0</v>
      </c>
      <c r="D41" s="7">
        <v>1936.9650116124701</v>
      </c>
      <c r="E41" s="7">
        <v>0</v>
      </c>
      <c r="F41" s="17">
        <f t="shared" si="1"/>
        <v>10726.048228803191</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1470.0258757083116</v>
      </c>
      <c r="C55" s="7">
        <v>0</v>
      </c>
      <c r="D55" s="7">
        <v>447.47995290454946</v>
      </c>
      <c r="E55" s="7">
        <v>0</v>
      </c>
      <c r="F55" s="17">
        <f t="shared" si="1"/>
        <v>1917.505828612861</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33328.814309747249</v>
      </c>
      <c r="C60" s="7">
        <f>SUM(C6:C58)</f>
        <v>0</v>
      </c>
      <c r="D60" s="7">
        <f>SUM(D6:D58)</f>
        <v>11494.91569025275</v>
      </c>
      <c r="E60" s="7">
        <f>SUM(E6:E58)</f>
        <v>0</v>
      </c>
      <c r="F60" s="17">
        <f>SUM(F6:F58)</f>
        <v>44823.73</v>
      </c>
      <c r="K60" s="10">
        <f>SUM(K6:K58)</f>
        <v>80000</v>
      </c>
      <c r="L60" s="7">
        <f>SUM(L6:L58)</f>
        <v>54000</v>
      </c>
      <c r="M60" s="7"/>
      <c r="N60" s="7">
        <f>SUM(N6:N58)</f>
        <v>0</v>
      </c>
      <c r="O60" s="7">
        <f>SUM(O6:O58)</f>
        <v>0</v>
      </c>
      <c r="P60" s="7"/>
      <c r="Q60" s="7">
        <f>SUM(Q6:Q58)</f>
        <v>20000</v>
      </c>
      <c r="R60" s="7">
        <f>SUM(R6:R58)</f>
        <v>24000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Italic"Supreme Life Insurance Company of America&amp;R&amp;"Geneva,Bold"UNAUDITED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157</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557191</v>
      </c>
      <c r="E6" s="7">
        <v>0</v>
      </c>
      <c r="F6" s="17">
        <f t="shared" ref="F6:F37" si="0">SUM(B6:E6)</f>
        <v>557191</v>
      </c>
      <c r="K6" s="10">
        <v>0</v>
      </c>
      <c r="L6" s="7">
        <v>0</v>
      </c>
      <c r="M6" s="7"/>
      <c r="N6" s="7">
        <v>0</v>
      </c>
      <c r="O6" s="7">
        <v>0</v>
      </c>
      <c r="P6" s="7"/>
      <c r="Q6" s="7">
        <v>555000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193164</v>
      </c>
      <c r="E8" s="7">
        <v>0</v>
      </c>
      <c r="F8" s="17">
        <f t="shared" si="0"/>
        <v>193164</v>
      </c>
      <c r="H8" s="4" t="s">
        <v>64</v>
      </c>
      <c r="I8" s="13"/>
      <c r="K8" s="10">
        <v>0</v>
      </c>
      <c r="L8" s="7">
        <v>0</v>
      </c>
      <c r="M8" s="7"/>
      <c r="N8" s="7">
        <v>0</v>
      </c>
      <c r="O8" s="7">
        <v>0</v>
      </c>
      <c r="P8" s="7"/>
      <c r="Q8" s="7">
        <v>90283</v>
      </c>
      <c r="R8" s="7">
        <v>0</v>
      </c>
      <c r="S8" s="7"/>
      <c r="T8" s="7">
        <v>0</v>
      </c>
      <c r="U8" s="17">
        <v>0</v>
      </c>
    </row>
    <row r="9" spans="1:21">
      <c r="A9" t="s">
        <v>3</v>
      </c>
      <c r="B9" s="10">
        <v>0</v>
      </c>
      <c r="C9" s="7">
        <v>0</v>
      </c>
      <c r="D9" s="7">
        <v>87320</v>
      </c>
      <c r="E9" s="7">
        <v>0</v>
      </c>
      <c r="F9" s="17">
        <f t="shared" si="0"/>
        <v>87320</v>
      </c>
      <c r="H9" s="4"/>
      <c r="I9" s="13"/>
      <c r="K9" s="10"/>
      <c r="L9" s="7"/>
      <c r="M9" s="7"/>
      <c r="N9" s="7"/>
      <c r="O9" s="7"/>
      <c r="P9" s="7"/>
      <c r="Q9" s="7"/>
      <c r="R9" s="7"/>
      <c r="S9" s="7"/>
      <c r="T9" s="7"/>
      <c r="U9" s="17"/>
    </row>
    <row r="10" spans="1:21">
      <c r="A10" t="s">
        <v>4</v>
      </c>
      <c r="B10" s="10">
        <v>0</v>
      </c>
      <c r="C10" s="7">
        <v>0</v>
      </c>
      <c r="D10" s="7">
        <v>164443</v>
      </c>
      <c r="E10" s="7">
        <v>0</v>
      </c>
      <c r="F10" s="17">
        <f t="shared" si="0"/>
        <v>164443</v>
      </c>
      <c r="H10" s="4" t="s">
        <v>65</v>
      </c>
      <c r="I10" s="14">
        <v>8039281</v>
      </c>
      <c r="K10" s="10"/>
      <c r="L10" s="7"/>
      <c r="M10" s="7"/>
      <c r="N10" s="7"/>
      <c r="O10" s="7"/>
      <c r="P10" s="7"/>
      <c r="Q10" s="7"/>
      <c r="R10" s="7"/>
      <c r="S10" s="7"/>
      <c r="T10" s="7"/>
      <c r="U10" s="17"/>
    </row>
    <row r="11" spans="1:21">
      <c r="A11" t="s">
        <v>5</v>
      </c>
      <c r="B11" s="10">
        <v>0</v>
      </c>
      <c r="C11" s="7">
        <v>0</v>
      </c>
      <c r="D11" s="7">
        <v>55203</v>
      </c>
      <c r="E11" s="7">
        <v>0</v>
      </c>
      <c r="F11" s="17">
        <f t="shared" si="0"/>
        <v>55203</v>
      </c>
      <c r="H11" s="4"/>
      <c r="I11" s="14"/>
      <c r="K11" s="10">
        <v>0</v>
      </c>
      <c r="L11" s="7">
        <v>0</v>
      </c>
      <c r="M11" s="7"/>
      <c r="N11" s="7">
        <v>0</v>
      </c>
      <c r="O11" s="7">
        <v>0</v>
      </c>
      <c r="P11" s="7"/>
      <c r="Q11" s="7">
        <v>10000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264</v>
      </c>
      <c r="E13" s="7">
        <v>0</v>
      </c>
      <c r="F13" s="17">
        <f t="shared" si="0"/>
        <v>264</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13820</v>
      </c>
      <c r="E15" s="7">
        <v>0</v>
      </c>
      <c r="F15" s="17">
        <f t="shared" si="0"/>
        <v>13820</v>
      </c>
      <c r="H15" s="4" t="s">
        <v>69</v>
      </c>
      <c r="I15" s="14">
        <v>67713</v>
      </c>
      <c r="K15" s="10"/>
      <c r="L15" s="7"/>
      <c r="M15" s="7"/>
      <c r="N15" s="7"/>
      <c r="O15" s="7"/>
      <c r="P15" s="7"/>
      <c r="Q15" s="7"/>
      <c r="R15" s="7"/>
      <c r="S15" s="7"/>
      <c r="T15" s="7"/>
      <c r="U15" s="17"/>
    </row>
    <row r="16" spans="1:21">
      <c r="A16" t="s">
        <v>10</v>
      </c>
      <c r="B16" s="10">
        <v>0</v>
      </c>
      <c r="C16" s="7">
        <v>0</v>
      </c>
      <c r="D16" s="7">
        <v>2711387</v>
      </c>
      <c r="E16" s="7">
        <v>0</v>
      </c>
      <c r="F16" s="17">
        <f t="shared" si="0"/>
        <v>2711387</v>
      </c>
      <c r="H16" s="4" t="s">
        <v>70</v>
      </c>
      <c r="I16" s="14">
        <v>0</v>
      </c>
      <c r="K16" s="10">
        <v>0</v>
      </c>
      <c r="L16" s="7">
        <v>0</v>
      </c>
      <c r="M16" s="7"/>
      <c r="N16" s="7">
        <v>0</v>
      </c>
      <c r="O16" s="7">
        <v>0</v>
      </c>
      <c r="P16" s="7"/>
      <c r="Q16" s="7">
        <v>3083986</v>
      </c>
      <c r="R16" s="7">
        <v>0</v>
      </c>
      <c r="S16" s="7"/>
      <c r="T16" s="7">
        <v>0</v>
      </c>
      <c r="U16" s="17">
        <v>0</v>
      </c>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21960</v>
      </c>
      <c r="E18" s="7">
        <v>0</v>
      </c>
      <c r="F18" s="17">
        <f t="shared" si="0"/>
        <v>21960</v>
      </c>
      <c r="H18" s="4" t="s">
        <v>71</v>
      </c>
      <c r="I18" s="14"/>
      <c r="K18" s="10">
        <v>13000</v>
      </c>
      <c r="L18" s="7">
        <v>12848</v>
      </c>
      <c r="M18" s="7"/>
      <c r="N18" s="7">
        <v>0</v>
      </c>
      <c r="O18" s="7">
        <v>0</v>
      </c>
      <c r="P18" s="7"/>
      <c r="Q18" s="7">
        <v>12000</v>
      </c>
      <c r="R18" s="7">
        <v>0</v>
      </c>
      <c r="S18" s="7"/>
      <c r="T18" s="7">
        <v>0</v>
      </c>
      <c r="U18" s="17">
        <v>0</v>
      </c>
    </row>
    <row r="19" spans="1:21">
      <c r="A19" t="s">
        <v>13</v>
      </c>
      <c r="B19" s="10">
        <v>0</v>
      </c>
      <c r="C19" s="7">
        <v>0</v>
      </c>
      <c r="D19" s="7">
        <v>122013</v>
      </c>
      <c r="E19" s="7">
        <v>0</v>
      </c>
      <c r="F19" s="17">
        <f t="shared" si="0"/>
        <v>122013</v>
      </c>
      <c r="H19" s="4" t="s">
        <v>72</v>
      </c>
      <c r="I19" s="14">
        <v>0</v>
      </c>
      <c r="K19" s="10">
        <v>0</v>
      </c>
      <c r="L19" s="7">
        <v>0</v>
      </c>
      <c r="M19" s="7"/>
      <c r="N19" s="7">
        <v>0</v>
      </c>
      <c r="O19" s="7">
        <v>0</v>
      </c>
      <c r="P19" s="7"/>
      <c r="Q19" s="7">
        <v>145000</v>
      </c>
      <c r="R19" s="7">
        <v>20700</v>
      </c>
      <c r="S19" s="7"/>
      <c r="T19" s="7">
        <v>0</v>
      </c>
      <c r="U19" s="17">
        <v>0</v>
      </c>
    </row>
    <row r="20" spans="1:21">
      <c r="A20" t="s">
        <v>14</v>
      </c>
      <c r="B20" s="10">
        <v>0</v>
      </c>
      <c r="C20" s="7">
        <v>0</v>
      </c>
      <c r="D20" s="7">
        <v>27047</v>
      </c>
      <c r="E20" s="7">
        <v>0</v>
      </c>
      <c r="F20" s="17">
        <f t="shared" si="0"/>
        <v>27047</v>
      </c>
      <c r="H20" s="4" t="s">
        <v>73</v>
      </c>
      <c r="I20" s="14">
        <v>0</v>
      </c>
      <c r="K20" s="10">
        <v>0</v>
      </c>
      <c r="L20" s="7">
        <v>0</v>
      </c>
      <c r="M20" s="7"/>
      <c r="N20" s="7">
        <v>0</v>
      </c>
      <c r="O20" s="7">
        <v>0</v>
      </c>
      <c r="P20" s="7"/>
      <c r="Q20" s="7">
        <v>240011</v>
      </c>
      <c r="R20" s="7">
        <v>0</v>
      </c>
      <c r="S20" s="7"/>
      <c r="T20" s="7">
        <v>0</v>
      </c>
      <c r="U20" s="17">
        <v>0</v>
      </c>
    </row>
    <row r="21" spans="1:21">
      <c r="A21" t="s">
        <v>15</v>
      </c>
      <c r="B21" s="10">
        <v>0</v>
      </c>
      <c r="C21" s="7">
        <v>0</v>
      </c>
      <c r="D21" s="7">
        <v>25481</v>
      </c>
      <c r="E21" s="7">
        <v>0</v>
      </c>
      <c r="F21" s="17">
        <f t="shared" si="0"/>
        <v>25481</v>
      </c>
      <c r="H21" s="4" t="s">
        <v>74</v>
      </c>
      <c r="I21" s="14"/>
      <c r="K21" s="10">
        <v>0</v>
      </c>
      <c r="L21" s="7">
        <v>0</v>
      </c>
      <c r="M21" s="7"/>
      <c r="N21" s="7">
        <v>0</v>
      </c>
      <c r="O21" s="7">
        <v>0</v>
      </c>
      <c r="P21" s="7"/>
      <c r="Q21" s="7">
        <v>43800</v>
      </c>
      <c r="R21" s="7">
        <v>0</v>
      </c>
      <c r="S21" s="7"/>
      <c r="T21" s="7">
        <v>0</v>
      </c>
      <c r="U21" s="17">
        <v>0</v>
      </c>
    </row>
    <row r="22" spans="1:21">
      <c r="A22" t="s">
        <v>16</v>
      </c>
      <c r="B22" s="10">
        <v>0</v>
      </c>
      <c r="C22" s="7">
        <v>0</v>
      </c>
      <c r="D22" s="7">
        <v>14496</v>
      </c>
      <c r="E22" s="7">
        <v>0</v>
      </c>
      <c r="F22" s="17">
        <f t="shared" si="0"/>
        <v>14496</v>
      </c>
      <c r="H22" s="4" t="s">
        <v>75</v>
      </c>
      <c r="I22" s="14">
        <v>0</v>
      </c>
      <c r="K22" s="10"/>
      <c r="L22" s="7"/>
      <c r="M22" s="7"/>
      <c r="N22" s="7"/>
      <c r="O22" s="7"/>
      <c r="P22" s="7"/>
      <c r="Q22" s="7"/>
      <c r="R22" s="7"/>
      <c r="S22" s="7"/>
      <c r="T22" s="7"/>
      <c r="U22" s="17"/>
    </row>
    <row r="23" spans="1:21">
      <c r="A23" t="s">
        <v>17</v>
      </c>
      <c r="B23" s="10">
        <v>0</v>
      </c>
      <c r="C23" s="7">
        <v>0</v>
      </c>
      <c r="D23" s="7">
        <v>463038</v>
      </c>
      <c r="E23" s="7">
        <v>0</v>
      </c>
      <c r="F23" s="17">
        <f t="shared" si="0"/>
        <v>463038</v>
      </c>
      <c r="H23" s="4" t="s">
        <v>76</v>
      </c>
      <c r="I23" s="14"/>
      <c r="K23" s="10">
        <v>15900</v>
      </c>
      <c r="L23" s="7">
        <v>10160.379999999999</v>
      </c>
      <c r="M23" s="7"/>
      <c r="N23" s="7">
        <v>514100</v>
      </c>
      <c r="O23" s="7">
        <v>0</v>
      </c>
      <c r="P23" s="7"/>
      <c r="Q23" s="7">
        <v>0</v>
      </c>
      <c r="R23" s="7">
        <v>240218.01</v>
      </c>
      <c r="S23" s="7"/>
      <c r="T23" s="7">
        <v>0</v>
      </c>
      <c r="U23" s="17">
        <v>0</v>
      </c>
    </row>
    <row r="24" spans="1:21">
      <c r="A24" t="s">
        <v>18</v>
      </c>
      <c r="B24" s="10">
        <v>0</v>
      </c>
      <c r="C24" s="7">
        <v>0</v>
      </c>
      <c r="D24" s="7">
        <v>70448</v>
      </c>
      <c r="E24" s="7">
        <v>0</v>
      </c>
      <c r="F24" s="17">
        <f t="shared" si="0"/>
        <v>70448</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6769</v>
      </c>
      <c r="E26" s="7">
        <v>0</v>
      </c>
      <c r="F26" s="17">
        <f t="shared" si="0"/>
        <v>6769</v>
      </c>
      <c r="H26" s="4" t="s">
        <v>78</v>
      </c>
      <c r="I26" s="14">
        <f>SUM(I10:I16)-SUM(I19:I24)</f>
        <v>8106994</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8106994</v>
      </c>
      <c r="K27" s="10"/>
      <c r="L27" s="7"/>
      <c r="M27" s="7"/>
      <c r="N27" s="7"/>
      <c r="O27" s="7"/>
      <c r="P27" s="7"/>
      <c r="Q27" s="7"/>
      <c r="R27" s="7"/>
      <c r="S27" s="7"/>
      <c r="T27" s="7"/>
      <c r="U27" s="17"/>
    </row>
    <row r="28" spans="1:21">
      <c r="A28" t="s">
        <v>22</v>
      </c>
      <c r="B28" s="10">
        <v>0</v>
      </c>
      <c r="C28" s="7">
        <v>0</v>
      </c>
      <c r="D28" s="7">
        <v>111797</v>
      </c>
      <c r="E28" s="7">
        <v>0</v>
      </c>
      <c r="F28" s="17">
        <f t="shared" si="0"/>
        <v>111797</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189833</v>
      </c>
      <c r="E30" s="7">
        <v>0</v>
      </c>
      <c r="F30" s="17">
        <f t="shared" si="0"/>
        <v>189833</v>
      </c>
      <c r="K30" s="10">
        <v>75235</v>
      </c>
      <c r="L30" s="7">
        <v>14145</v>
      </c>
      <c r="M30" s="7"/>
      <c r="N30" s="7">
        <v>0</v>
      </c>
      <c r="O30" s="7">
        <v>0</v>
      </c>
      <c r="P30" s="7"/>
      <c r="Q30" s="7">
        <v>154765</v>
      </c>
      <c r="R30" s="7">
        <v>28210</v>
      </c>
      <c r="S30" s="7"/>
      <c r="T30" s="7">
        <v>0</v>
      </c>
      <c r="U30" s="17">
        <v>0</v>
      </c>
    </row>
    <row r="31" spans="1:21">
      <c r="A31" t="s">
        <v>25</v>
      </c>
      <c r="B31" s="10">
        <v>0</v>
      </c>
      <c r="C31" s="7">
        <v>0</v>
      </c>
      <c r="D31" s="7">
        <v>143266</v>
      </c>
      <c r="E31" s="7">
        <v>0</v>
      </c>
      <c r="F31" s="17">
        <f t="shared" si="0"/>
        <v>143266</v>
      </c>
      <c r="K31" s="10"/>
      <c r="L31" s="7"/>
      <c r="M31" s="7"/>
      <c r="N31" s="7"/>
      <c r="O31" s="7"/>
      <c r="P31" s="7"/>
      <c r="Q31" s="7"/>
      <c r="R31" s="7"/>
      <c r="S31" s="7"/>
      <c r="T31" s="7"/>
      <c r="U31" s="17"/>
    </row>
    <row r="32" spans="1:21">
      <c r="A32" t="s">
        <v>26</v>
      </c>
      <c r="B32" s="10">
        <v>0</v>
      </c>
      <c r="C32" s="7">
        <v>0</v>
      </c>
      <c r="D32" s="7">
        <v>15589</v>
      </c>
      <c r="E32" s="7">
        <v>0</v>
      </c>
      <c r="F32" s="17">
        <f t="shared" si="0"/>
        <v>15589</v>
      </c>
      <c r="K32" s="10">
        <v>11160</v>
      </c>
      <c r="L32" s="7">
        <v>0</v>
      </c>
      <c r="M32" s="7"/>
      <c r="N32" s="7">
        <v>0</v>
      </c>
      <c r="O32" s="7">
        <v>0</v>
      </c>
      <c r="P32" s="7"/>
      <c r="Q32" s="7">
        <v>19840</v>
      </c>
      <c r="R32" s="7">
        <v>0</v>
      </c>
      <c r="S32" s="7"/>
      <c r="T32" s="7">
        <v>0</v>
      </c>
      <c r="U32" s="17">
        <v>0</v>
      </c>
    </row>
    <row r="33" spans="1:21">
      <c r="A33" t="s">
        <v>27</v>
      </c>
      <c r="B33" s="10">
        <v>0</v>
      </c>
      <c r="C33" s="7">
        <v>0</v>
      </c>
      <c r="D33" s="7">
        <v>47648</v>
      </c>
      <c r="E33" s="7">
        <v>0</v>
      </c>
      <c r="F33" s="17">
        <f t="shared" si="0"/>
        <v>47648</v>
      </c>
      <c r="K33" s="10">
        <v>0</v>
      </c>
      <c r="L33" s="7">
        <v>0</v>
      </c>
      <c r="M33" s="7"/>
      <c r="N33" s="7">
        <v>0</v>
      </c>
      <c r="O33" s="7">
        <v>0</v>
      </c>
      <c r="P33" s="7"/>
      <c r="Q33" s="7">
        <v>55000</v>
      </c>
      <c r="R33" s="7">
        <v>0</v>
      </c>
      <c r="S33" s="7"/>
      <c r="T33" s="7">
        <v>0</v>
      </c>
      <c r="U33" s="17">
        <v>0</v>
      </c>
    </row>
    <row r="34" spans="1:21">
      <c r="A34" t="s">
        <v>28</v>
      </c>
      <c r="B34" s="10">
        <v>0</v>
      </c>
      <c r="C34" s="7">
        <v>0</v>
      </c>
      <c r="D34" s="7">
        <v>371517</v>
      </c>
      <c r="E34" s="7">
        <v>0</v>
      </c>
      <c r="F34" s="17">
        <f t="shared" si="0"/>
        <v>371517</v>
      </c>
      <c r="K34" s="10">
        <v>0</v>
      </c>
      <c r="L34" s="7">
        <v>0</v>
      </c>
      <c r="M34" s="7"/>
      <c r="N34" s="7">
        <v>0</v>
      </c>
      <c r="O34" s="7">
        <v>0</v>
      </c>
      <c r="P34" s="7"/>
      <c r="Q34" s="7">
        <v>419800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4027</v>
      </c>
      <c r="E36" s="7">
        <v>0</v>
      </c>
      <c r="F36" s="17">
        <f t="shared" si="0"/>
        <v>4027</v>
      </c>
      <c r="K36" s="10"/>
      <c r="L36" s="7"/>
      <c r="M36" s="7"/>
      <c r="N36" s="7"/>
      <c r="O36" s="7"/>
      <c r="P36" s="7"/>
      <c r="Q36" s="7"/>
      <c r="R36" s="7"/>
      <c r="S36" s="7"/>
      <c r="T36" s="7"/>
      <c r="U36" s="17"/>
    </row>
    <row r="37" spans="1:21">
      <c r="A37" t="s">
        <v>31</v>
      </c>
      <c r="B37" s="10">
        <v>0</v>
      </c>
      <c r="C37" s="7">
        <v>0</v>
      </c>
      <c r="D37" s="7">
        <v>121733</v>
      </c>
      <c r="E37" s="7">
        <v>0</v>
      </c>
      <c r="F37" s="17">
        <f t="shared" si="0"/>
        <v>121733</v>
      </c>
      <c r="K37" s="10"/>
      <c r="L37" s="7"/>
      <c r="M37" s="7"/>
      <c r="N37" s="7"/>
      <c r="O37" s="7"/>
      <c r="P37" s="7"/>
      <c r="Q37" s="7"/>
      <c r="R37" s="7"/>
      <c r="S37" s="7"/>
      <c r="T37" s="7"/>
      <c r="U37" s="17"/>
    </row>
    <row r="38" spans="1:21">
      <c r="A38" t="s">
        <v>32</v>
      </c>
      <c r="B38" s="10">
        <v>0</v>
      </c>
      <c r="C38" s="7">
        <v>0</v>
      </c>
      <c r="D38" s="7">
        <v>1484</v>
      </c>
      <c r="E38" s="7">
        <v>0</v>
      </c>
      <c r="F38" s="17">
        <f t="shared" ref="F38:F58" si="1">SUM(B38:E38)</f>
        <v>1484</v>
      </c>
      <c r="K38" s="10"/>
      <c r="L38" s="7"/>
      <c r="M38" s="7"/>
      <c r="N38" s="7"/>
      <c r="O38" s="7"/>
      <c r="P38" s="7"/>
      <c r="Q38" s="7"/>
      <c r="R38" s="7"/>
      <c r="S38" s="7"/>
      <c r="T38" s="7"/>
      <c r="U38" s="17"/>
    </row>
    <row r="39" spans="1:21">
      <c r="A39" t="s">
        <v>33</v>
      </c>
      <c r="B39" s="10">
        <v>0</v>
      </c>
      <c r="C39" s="7">
        <v>0</v>
      </c>
      <c r="D39" s="7">
        <v>30</v>
      </c>
      <c r="E39" s="7">
        <v>0</v>
      </c>
      <c r="F39" s="17">
        <f t="shared" si="1"/>
        <v>30</v>
      </c>
      <c r="K39" s="10"/>
      <c r="L39" s="7"/>
      <c r="M39" s="7"/>
      <c r="N39" s="7"/>
      <c r="O39" s="7"/>
      <c r="P39" s="7"/>
      <c r="Q39" s="7"/>
      <c r="R39" s="7"/>
      <c r="S39" s="7"/>
      <c r="T39" s="7"/>
      <c r="U39" s="17"/>
    </row>
    <row r="40" spans="1:21">
      <c r="A40" t="s">
        <v>34</v>
      </c>
      <c r="B40" s="10">
        <v>0</v>
      </c>
      <c r="C40" s="7">
        <v>0</v>
      </c>
      <c r="D40" s="7">
        <v>5374</v>
      </c>
      <c r="E40" s="7">
        <v>0</v>
      </c>
      <c r="F40" s="17">
        <f t="shared" si="1"/>
        <v>5374</v>
      </c>
      <c r="K40" s="10">
        <v>0</v>
      </c>
      <c r="L40" s="7">
        <v>0</v>
      </c>
      <c r="M40" s="7"/>
      <c r="N40" s="7">
        <v>0</v>
      </c>
      <c r="O40" s="7">
        <v>0</v>
      </c>
      <c r="P40" s="7"/>
      <c r="Q40" s="7">
        <v>4452</v>
      </c>
      <c r="R40" s="7">
        <v>0</v>
      </c>
      <c r="S40" s="7"/>
      <c r="T40" s="7">
        <v>0</v>
      </c>
      <c r="U40" s="17">
        <v>0</v>
      </c>
    </row>
    <row r="41" spans="1:21">
      <c r="A41" t="s">
        <v>35</v>
      </c>
      <c r="B41" s="10">
        <v>0</v>
      </c>
      <c r="C41" s="7">
        <v>0</v>
      </c>
      <c r="D41" s="7">
        <v>99535</v>
      </c>
      <c r="E41" s="7">
        <v>0</v>
      </c>
      <c r="F41" s="17">
        <f t="shared" si="1"/>
        <v>99535</v>
      </c>
      <c r="K41" s="10">
        <v>0</v>
      </c>
      <c r="L41" s="7">
        <v>0</v>
      </c>
      <c r="M41" s="7"/>
      <c r="N41" s="7">
        <v>0</v>
      </c>
      <c r="O41" s="7">
        <v>0</v>
      </c>
      <c r="P41" s="7"/>
      <c r="Q41" s="7">
        <v>65000</v>
      </c>
      <c r="R41" s="7">
        <v>0</v>
      </c>
      <c r="S41" s="7"/>
      <c r="T41" s="7">
        <v>0</v>
      </c>
      <c r="U41" s="17">
        <v>0</v>
      </c>
    </row>
    <row r="42" spans="1:21">
      <c r="A42" t="s">
        <v>36</v>
      </c>
      <c r="B42" s="10">
        <v>0</v>
      </c>
      <c r="C42" s="7">
        <v>0</v>
      </c>
      <c r="D42" s="7">
        <v>93787</v>
      </c>
      <c r="E42" s="7">
        <v>0</v>
      </c>
      <c r="F42" s="17">
        <f t="shared" si="1"/>
        <v>93787</v>
      </c>
      <c r="K42" s="10"/>
      <c r="L42" s="7"/>
      <c r="M42" s="7"/>
      <c r="N42" s="7"/>
      <c r="O42" s="7"/>
      <c r="P42" s="7"/>
      <c r="Q42" s="7"/>
      <c r="R42" s="7"/>
      <c r="S42" s="7"/>
      <c r="T42" s="7"/>
      <c r="U42" s="17"/>
    </row>
    <row r="43" spans="1:21">
      <c r="A43" t="s">
        <v>37</v>
      </c>
      <c r="B43" s="10">
        <v>0</v>
      </c>
      <c r="C43" s="7">
        <v>0</v>
      </c>
      <c r="D43" s="7">
        <v>67597</v>
      </c>
      <c r="E43" s="7">
        <v>0</v>
      </c>
      <c r="F43" s="17">
        <f t="shared" si="1"/>
        <v>67597</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7267</v>
      </c>
      <c r="E47" s="7">
        <v>0</v>
      </c>
      <c r="F47" s="17">
        <f t="shared" si="1"/>
        <v>7267</v>
      </c>
      <c r="K47" s="10"/>
      <c r="L47" s="7"/>
      <c r="M47" s="7"/>
      <c r="N47" s="7"/>
      <c r="O47" s="7"/>
      <c r="P47" s="7"/>
      <c r="Q47" s="7"/>
      <c r="R47" s="7"/>
      <c r="S47" s="7"/>
      <c r="T47" s="7"/>
      <c r="U47" s="17"/>
    </row>
    <row r="48" spans="1:21">
      <c r="A48" t="s">
        <v>42</v>
      </c>
      <c r="B48" s="10">
        <v>0</v>
      </c>
      <c r="C48" s="7">
        <v>0</v>
      </c>
      <c r="D48" s="7">
        <v>51116</v>
      </c>
      <c r="E48" s="7">
        <v>0</v>
      </c>
      <c r="F48" s="17">
        <f t="shared" si="1"/>
        <v>51116</v>
      </c>
      <c r="K48" s="10">
        <v>150</v>
      </c>
      <c r="L48" s="7">
        <v>0</v>
      </c>
      <c r="M48" s="7"/>
      <c r="N48" s="7">
        <v>0</v>
      </c>
      <c r="O48" s="7">
        <v>0</v>
      </c>
      <c r="P48" s="7"/>
      <c r="Q48" s="7">
        <v>82731</v>
      </c>
      <c r="R48" s="7">
        <v>0</v>
      </c>
      <c r="S48" s="7"/>
      <c r="T48" s="7">
        <v>0</v>
      </c>
      <c r="U48" s="17">
        <v>0</v>
      </c>
    </row>
    <row r="49" spans="1:21">
      <c r="A49" t="s">
        <v>43</v>
      </c>
      <c r="B49" s="10">
        <v>0</v>
      </c>
      <c r="C49" s="7">
        <v>0</v>
      </c>
      <c r="D49" s="7">
        <v>67009</v>
      </c>
      <c r="E49" s="7">
        <v>0</v>
      </c>
      <c r="F49" s="17">
        <f t="shared" si="1"/>
        <v>67009</v>
      </c>
      <c r="K49" s="10">
        <v>0</v>
      </c>
      <c r="L49" s="7">
        <v>0</v>
      </c>
      <c r="M49" s="7"/>
      <c r="N49" s="7">
        <v>0</v>
      </c>
      <c r="O49" s="7">
        <v>0</v>
      </c>
      <c r="P49" s="7"/>
      <c r="Q49" s="7">
        <v>48000</v>
      </c>
      <c r="R49" s="7">
        <v>0</v>
      </c>
      <c r="S49" s="7"/>
      <c r="T49" s="7">
        <v>0</v>
      </c>
      <c r="U49" s="17">
        <v>0</v>
      </c>
    </row>
    <row r="50" spans="1:21">
      <c r="A50" t="s">
        <v>44</v>
      </c>
      <c r="B50" s="10">
        <v>0</v>
      </c>
      <c r="C50" s="7">
        <v>0</v>
      </c>
      <c r="D50" s="7">
        <v>1832245</v>
      </c>
      <c r="E50" s="7">
        <v>0</v>
      </c>
      <c r="F50" s="17">
        <f t="shared" si="1"/>
        <v>1832245</v>
      </c>
      <c r="K50" s="10">
        <v>17071</v>
      </c>
      <c r="L50" s="7">
        <v>11023.714</v>
      </c>
      <c r="M50" s="7"/>
      <c r="N50" s="7">
        <v>0</v>
      </c>
      <c r="O50" s="7">
        <v>0</v>
      </c>
      <c r="P50" s="7"/>
      <c r="Q50" s="7">
        <v>1292203</v>
      </c>
      <c r="R50" s="7">
        <v>836954.28599999996</v>
      </c>
      <c r="S50" s="7"/>
      <c r="T50" s="7">
        <v>0</v>
      </c>
      <c r="U50" s="17">
        <v>0</v>
      </c>
    </row>
    <row r="51" spans="1:21">
      <c r="A51" t="s">
        <v>45</v>
      </c>
      <c r="B51" s="10">
        <v>0</v>
      </c>
      <c r="C51" s="7">
        <v>0</v>
      </c>
      <c r="D51" s="7">
        <v>32888</v>
      </c>
      <c r="E51" s="7">
        <v>0</v>
      </c>
      <c r="F51" s="17">
        <f t="shared" si="1"/>
        <v>32888</v>
      </c>
      <c r="K51" s="10">
        <v>2000</v>
      </c>
      <c r="L51" s="7">
        <v>0</v>
      </c>
      <c r="M51" s="7"/>
      <c r="N51" s="7">
        <v>0</v>
      </c>
      <c r="O51" s="7">
        <v>0</v>
      </c>
      <c r="P51" s="7"/>
      <c r="Q51" s="7">
        <v>320000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27892</v>
      </c>
      <c r="E53" s="7">
        <v>0</v>
      </c>
      <c r="F53" s="17">
        <f t="shared" si="1"/>
        <v>27892</v>
      </c>
      <c r="K53" s="10">
        <v>0</v>
      </c>
      <c r="L53" s="7">
        <v>0</v>
      </c>
      <c r="M53" s="7"/>
      <c r="N53" s="7">
        <v>0</v>
      </c>
      <c r="O53" s="7">
        <v>0</v>
      </c>
      <c r="P53" s="7"/>
      <c r="Q53" s="7">
        <v>30000</v>
      </c>
      <c r="R53" s="7">
        <v>42431</v>
      </c>
      <c r="S53" s="7"/>
      <c r="T53" s="7">
        <v>0</v>
      </c>
      <c r="U53" s="17">
        <v>0</v>
      </c>
    </row>
    <row r="54" spans="1:21">
      <c r="A54" t="s">
        <v>48</v>
      </c>
      <c r="B54" s="10">
        <v>0</v>
      </c>
      <c r="C54" s="7">
        <v>0</v>
      </c>
      <c r="D54" s="7">
        <v>167735</v>
      </c>
      <c r="E54" s="7">
        <v>0</v>
      </c>
      <c r="F54" s="17">
        <f t="shared" si="1"/>
        <v>167735</v>
      </c>
      <c r="K54" s="10">
        <v>0</v>
      </c>
      <c r="L54" s="7">
        <v>0</v>
      </c>
      <c r="M54" s="7"/>
      <c r="N54" s="7">
        <v>0</v>
      </c>
      <c r="O54" s="7">
        <v>0</v>
      </c>
      <c r="P54" s="7"/>
      <c r="Q54" s="7">
        <v>200000</v>
      </c>
      <c r="R54" s="7">
        <v>85160</v>
      </c>
      <c r="S54" s="7"/>
      <c r="T54" s="7">
        <v>0</v>
      </c>
      <c r="U54" s="17">
        <v>0</v>
      </c>
    </row>
    <row r="55" spans="1:21">
      <c r="A55" t="s">
        <v>49</v>
      </c>
      <c r="B55" s="10">
        <v>0</v>
      </c>
      <c r="C55" s="7">
        <v>0</v>
      </c>
      <c r="D55" s="7">
        <v>110539</v>
      </c>
      <c r="E55" s="7">
        <v>0</v>
      </c>
      <c r="F55" s="17">
        <f t="shared" si="1"/>
        <v>110539</v>
      </c>
      <c r="K55" s="10">
        <v>2159</v>
      </c>
      <c r="L55" s="7">
        <v>0</v>
      </c>
      <c r="M55" s="7"/>
      <c r="N55" s="7">
        <v>0</v>
      </c>
      <c r="O55" s="7">
        <v>0</v>
      </c>
      <c r="P55" s="7"/>
      <c r="Q55" s="7">
        <v>206730</v>
      </c>
      <c r="R55" s="7">
        <v>155286</v>
      </c>
      <c r="S55" s="7"/>
      <c r="T55" s="7">
        <v>0</v>
      </c>
      <c r="U55" s="17">
        <v>0</v>
      </c>
    </row>
    <row r="56" spans="1:21">
      <c r="A56" t="s">
        <v>50</v>
      </c>
      <c r="B56" s="10">
        <v>0</v>
      </c>
      <c r="C56" s="7">
        <v>0</v>
      </c>
      <c r="D56" s="7">
        <v>2097</v>
      </c>
      <c r="E56" s="7">
        <v>0</v>
      </c>
      <c r="F56" s="17">
        <f t="shared" si="1"/>
        <v>2097</v>
      </c>
      <c r="K56" s="10"/>
      <c r="L56" s="7"/>
      <c r="M56" s="7"/>
      <c r="N56" s="7"/>
      <c r="O56" s="7"/>
      <c r="P56" s="7"/>
      <c r="Q56" s="7"/>
      <c r="R56" s="7"/>
      <c r="S56" s="7"/>
      <c r="T56" s="7"/>
      <c r="U56" s="17"/>
    </row>
    <row r="57" spans="1:21">
      <c r="A57" t="s">
        <v>51</v>
      </c>
      <c r="B57" s="10">
        <v>0</v>
      </c>
      <c r="C57" s="7">
        <v>0</v>
      </c>
      <c r="D57" s="7">
        <v>945</v>
      </c>
      <c r="E57" s="7">
        <v>0</v>
      </c>
      <c r="F57" s="17">
        <f t="shared" si="1"/>
        <v>945</v>
      </c>
      <c r="K57" s="10">
        <v>170</v>
      </c>
      <c r="L57" s="7">
        <v>0</v>
      </c>
      <c r="M57" s="7"/>
      <c r="N57" s="7">
        <v>0</v>
      </c>
      <c r="O57" s="7">
        <v>0</v>
      </c>
      <c r="P57" s="7"/>
      <c r="Q57" s="7">
        <v>4830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8106994</v>
      </c>
      <c r="E60" s="7">
        <f>SUM(E6:E58)</f>
        <v>0</v>
      </c>
      <c r="F60" s="17">
        <f>SUM(F6:F58)</f>
        <v>8106994</v>
      </c>
      <c r="K60" s="10">
        <f>SUM(K6:K58)</f>
        <v>136845</v>
      </c>
      <c r="L60" s="7">
        <f>SUM(L6:L58)</f>
        <v>48177.093999999997</v>
      </c>
      <c r="M60" s="7"/>
      <c r="N60" s="7">
        <f>SUM(N6:N58)</f>
        <v>514100</v>
      </c>
      <c r="O60" s="7">
        <f>SUM(O6:O58)</f>
        <v>0</v>
      </c>
      <c r="P60" s="7"/>
      <c r="Q60" s="7">
        <f>SUM(Q6:Q58)</f>
        <v>7083431</v>
      </c>
      <c r="R60" s="7">
        <f>SUM(R6:R58)</f>
        <v>1408959.2960000001</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Italic"Underwriters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84</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43713.746108570616</v>
      </c>
      <c r="C6" s="7">
        <v>127087.8938914294</v>
      </c>
      <c r="D6" s="7">
        <v>0</v>
      </c>
      <c r="E6" s="7">
        <v>0</v>
      </c>
      <c r="F6" s="17">
        <f t="shared" ref="F6:F37" si="0">SUM(B6:E6)</f>
        <v>170801.64</v>
      </c>
      <c r="K6" s="10">
        <v>266000</v>
      </c>
      <c r="L6" s="7">
        <v>0</v>
      </c>
      <c r="M6" s="7"/>
      <c r="N6" s="7">
        <v>171943</v>
      </c>
      <c r="O6" s="7">
        <v>0</v>
      </c>
      <c r="P6" s="7"/>
      <c r="Q6" s="7">
        <v>0</v>
      </c>
      <c r="R6" s="7">
        <v>0</v>
      </c>
      <c r="S6" s="7"/>
      <c r="T6" s="7">
        <v>0</v>
      </c>
      <c r="U6" s="17">
        <v>0</v>
      </c>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116447.35864762857</v>
      </c>
      <c r="C8" s="7">
        <v>403774.3602659186</v>
      </c>
      <c r="D8" s="7">
        <v>0</v>
      </c>
      <c r="E8" s="7">
        <v>0</v>
      </c>
      <c r="F8" s="17">
        <f t="shared" si="0"/>
        <v>520221.71891354717</v>
      </c>
      <c r="H8" s="4" t="s">
        <v>64</v>
      </c>
      <c r="I8" s="13"/>
      <c r="K8" s="10">
        <v>0</v>
      </c>
      <c r="L8" s="7">
        <v>0</v>
      </c>
      <c r="M8" s="7"/>
      <c r="N8" s="7">
        <v>418014</v>
      </c>
      <c r="O8" s="7">
        <v>0</v>
      </c>
      <c r="P8" s="7"/>
      <c r="Q8" s="7">
        <v>81022</v>
      </c>
      <c r="R8" s="7">
        <v>0</v>
      </c>
      <c r="S8" s="7"/>
      <c r="T8" s="7">
        <v>0</v>
      </c>
      <c r="U8" s="17">
        <v>0</v>
      </c>
    </row>
    <row r="9" spans="1:21">
      <c r="A9" t="s">
        <v>3</v>
      </c>
      <c r="B9" s="10">
        <v>100076.55576328076</v>
      </c>
      <c r="C9" s="7">
        <v>289524.34423671931</v>
      </c>
      <c r="D9" s="7">
        <v>0</v>
      </c>
      <c r="E9" s="7">
        <v>0</v>
      </c>
      <c r="F9" s="17">
        <f t="shared" si="0"/>
        <v>389600.90000000008</v>
      </c>
      <c r="H9" s="4"/>
      <c r="I9" s="13"/>
      <c r="K9" s="10">
        <v>659371</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23787587.611440528</v>
      </c>
      <c r="K10" s="10"/>
      <c r="L10" s="7"/>
      <c r="M10" s="7"/>
      <c r="N10" s="7"/>
      <c r="O10" s="7"/>
      <c r="P10" s="7"/>
      <c r="Q10" s="7"/>
      <c r="R10" s="7"/>
      <c r="S10" s="7"/>
      <c r="T10" s="7"/>
      <c r="U10" s="17"/>
    </row>
    <row r="11" spans="1:21">
      <c r="A11" t="s">
        <v>5</v>
      </c>
      <c r="B11" s="10">
        <v>92065.890055322365</v>
      </c>
      <c r="C11" s="7">
        <v>492208.85994467762</v>
      </c>
      <c r="D11" s="7">
        <v>0</v>
      </c>
      <c r="E11" s="7">
        <v>0</v>
      </c>
      <c r="F11" s="17">
        <f t="shared" si="0"/>
        <v>584274.75</v>
      </c>
      <c r="H11" s="4"/>
      <c r="I11" s="14"/>
      <c r="K11" s="10">
        <v>216260</v>
      </c>
      <c r="L11" s="7">
        <v>251470</v>
      </c>
      <c r="M11" s="7"/>
      <c r="N11" s="7">
        <v>906211</v>
      </c>
      <c r="O11" s="7">
        <v>80000</v>
      </c>
      <c r="P11" s="7"/>
      <c r="Q11" s="7">
        <v>0</v>
      </c>
      <c r="R11" s="7">
        <v>100117</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4754904</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1148775.5400000003</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606860.45999999973</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12980.416210475571</v>
      </c>
      <c r="C18" s="7">
        <v>243466.25378952437</v>
      </c>
      <c r="D18" s="7">
        <v>0</v>
      </c>
      <c r="E18" s="7">
        <v>0</v>
      </c>
      <c r="F18" s="17">
        <f t="shared" si="0"/>
        <v>256446.66999999995</v>
      </c>
      <c r="H18" s="4" t="s">
        <v>71</v>
      </c>
      <c r="I18" s="14"/>
      <c r="K18" s="10">
        <v>58740</v>
      </c>
      <c r="L18" s="7">
        <v>0</v>
      </c>
      <c r="M18" s="7"/>
      <c r="N18" s="7">
        <v>371260</v>
      </c>
      <c r="O18" s="7">
        <v>0</v>
      </c>
      <c r="P18" s="7"/>
      <c r="Q18" s="7">
        <v>0</v>
      </c>
      <c r="R18" s="7">
        <v>0</v>
      </c>
      <c r="S18" s="7"/>
      <c r="T18" s="7">
        <v>0</v>
      </c>
      <c r="U18" s="17">
        <v>0</v>
      </c>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4734481</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236544.78161360513</v>
      </c>
      <c r="C22" s="7">
        <v>1157829.4183863946</v>
      </c>
      <c r="D22" s="7">
        <v>0</v>
      </c>
      <c r="E22" s="7">
        <v>0</v>
      </c>
      <c r="F22" s="17">
        <f t="shared" si="0"/>
        <v>1394374.1999999997</v>
      </c>
      <c r="H22" s="4" t="s">
        <v>75</v>
      </c>
      <c r="I22" s="14">
        <v>1898918.8425269816</v>
      </c>
      <c r="K22" s="10">
        <v>500000</v>
      </c>
      <c r="L22" s="7">
        <v>0</v>
      </c>
      <c r="M22" s="7"/>
      <c r="N22" s="7">
        <v>1500000</v>
      </c>
      <c r="O22" s="7">
        <v>0</v>
      </c>
      <c r="P22" s="7"/>
      <c r="Q22" s="7">
        <v>0</v>
      </c>
      <c r="R22" s="7">
        <v>0</v>
      </c>
      <c r="S22" s="7"/>
      <c r="T22" s="7">
        <v>0</v>
      </c>
      <c r="U22" s="17">
        <v>0</v>
      </c>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175965.40491098163</v>
      </c>
      <c r="C24" s="7">
        <v>668571.61508901836</v>
      </c>
      <c r="D24" s="7">
        <v>0</v>
      </c>
      <c r="E24" s="7">
        <v>0</v>
      </c>
      <c r="F24" s="17">
        <f t="shared" si="0"/>
        <v>844537.02</v>
      </c>
      <c r="H24" s="4" t="s">
        <v>77</v>
      </c>
      <c r="I24" s="14">
        <v>10249807.68</v>
      </c>
      <c r="K24" s="10">
        <v>369626</v>
      </c>
      <c r="L24" s="7">
        <v>0</v>
      </c>
      <c r="M24" s="7"/>
      <c r="N24" s="7">
        <v>1034674</v>
      </c>
      <c r="O24" s="7">
        <v>0</v>
      </c>
      <c r="P24" s="7"/>
      <c r="Q24" s="7">
        <v>0</v>
      </c>
      <c r="R24" s="7">
        <v>0</v>
      </c>
      <c r="S24" s="7"/>
      <c r="T24" s="7">
        <v>0</v>
      </c>
      <c r="U24" s="17">
        <v>0</v>
      </c>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13414920.088913549</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13414920.088913547</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82657.124077029905</v>
      </c>
      <c r="C30" s="7">
        <v>375025.77592297015</v>
      </c>
      <c r="D30" s="7">
        <v>0</v>
      </c>
      <c r="E30" s="7">
        <v>0</v>
      </c>
      <c r="F30" s="17">
        <f t="shared" si="0"/>
        <v>457682.9</v>
      </c>
      <c r="K30" s="10">
        <v>299790</v>
      </c>
      <c r="L30" s="7">
        <v>0</v>
      </c>
      <c r="M30" s="7"/>
      <c r="N30" s="7">
        <v>600210</v>
      </c>
      <c r="O30" s="7">
        <v>0</v>
      </c>
      <c r="P30" s="7"/>
      <c r="Q30" s="7">
        <v>0</v>
      </c>
      <c r="R30" s="7">
        <v>0</v>
      </c>
      <c r="S30" s="7"/>
      <c r="T30" s="7">
        <v>0</v>
      </c>
      <c r="U30" s="17">
        <v>0</v>
      </c>
    </row>
    <row r="31" spans="1:21">
      <c r="A31" t="s">
        <v>25</v>
      </c>
      <c r="B31" s="10">
        <v>140055.34021015669</v>
      </c>
      <c r="C31" s="7">
        <v>1108521.6397898435</v>
      </c>
      <c r="D31" s="7">
        <v>0</v>
      </c>
      <c r="E31" s="7">
        <v>0</v>
      </c>
      <c r="F31" s="17">
        <f t="shared" si="0"/>
        <v>1248576.9800000002</v>
      </c>
      <c r="K31" s="10">
        <v>0</v>
      </c>
      <c r="L31" s="7">
        <v>0</v>
      </c>
      <c r="M31" s="7"/>
      <c r="N31" s="7">
        <v>1723861</v>
      </c>
      <c r="O31" s="7">
        <v>0</v>
      </c>
      <c r="P31" s="7"/>
      <c r="Q31" s="7">
        <v>0</v>
      </c>
      <c r="R31" s="7">
        <v>0</v>
      </c>
      <c r="S31" s="7"/>
      <c r="T31" s="7">
        <v>0</v>
      </c>
      <c r="U31" s="17">
        <v>0</v>
      </c>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875.06773569256256</v>
      </c>
      <c r="C34" s="7">
        <v>1014.9322643074374</v>
      </c>
      <c r="D34" s="7">
        <v>0</v>
      </c>
      <c r="E34" s="7">
        <v>0</v>
      </c>
      <c r="F34" s="17">
        <f t="shared" si="0"/>
        <v>1890</v>
      </c>
      <c r="K34" s="10">
        <v>15200</v>
      </c>
      <c r="L34" s="7">
        <v>0</v>
      </c>
      <c r="M34" s="7"/>
      <c r="N34" s="7">
        <v>14200</v>
      </c>
      <c r="O34" s="7">
        <v>0</v>
      </c>
      <c r="P34" s="7"/>
      <c r="Q34" s="7">
        <v>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231.03459477044316</v>
      </c>
      <c r="C37" s="7">
        <v>42701.245405229536</v>
      </c>
      <c r="D37" s="7">
        <v>0</v>
      </c>
      <c r="E37" s="7">
        <v>0</v>
      </c>
      <c r="F37" s="17">
        <f t="shared" si="0"/>
        <v>42932.279999999977</v>
      </c>
      <c r="K37" s="10">
        <v>35000</v>
      </c>
      <c r="L37" s="7">
        <v>0</v>
      </c>
      <c r="M37" s="7"/>
      <c r="N37" s="7">
        <v>30000</v>
      </c>
      <c r="O37" s="7">
        <v>0</v>
      </c>
      <c r="P37" s="7"/>
      <c r="Q37" s="7">
        <v>0</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1602536.596318003</v>
      </c>
      <c r="C42" s="7">
        <v>2174253.2427838715</v>
      </c>
      <c r="D42" s="7">
        <v>3925.5008981258752</v>
      </c>
      <c r="E42" s="7">
        <v>0</v>
      </c>
      <c r="F42" s="17">
        <f t="shared" si="1"/>
        <v>3780715.3400000003</v>
      </c>
      <c r="K42" s="10">
        <v>3455258</v>
      </c>
      <c r="L42" s="7">
        <v>1633000</v>
      </c>
      <c r="M42" s="7"/>
      <c r="N42" s="7">
        <v>2943368</v>
      </c>
      <c r="O42" s="7">
        <v>1391000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738345.16772062343</v>
      </c>
      <c r="C50" s="7">
        <v>2963862.1087250821</v>
      </c>
      <c r="D50" s="7">
        <v>225.97355429443095</v>
      </c>
      <c r="E50" s="7">
        <v>0</v>
      </c>
      <c r="F50" s="17">
        <f t="shared" si="1"/>
        <v>3702433.25</v>
      </c>
      <c r="K50" s="10">
        <v>6280667</v>
      </c>
      <c r="L50" s="7">
        <v>2588740.9462700002</v>
      </c>
      <c r="M50" s="7"/>
      <c r="N50" s="7">
        <v>53716</v>
      </c>
      <c r="O50" s="7">
        <v>22192.433730000004</v>
      </c>
      <c r="P50" s="7"/>
      <c r="Q50" s="7">
        <v>0</v>
      </c>
      <c r="R50" s="7">
        <v>0</v>
      </c>
      <c r="S50" s="7"/>
      <c r="T50" s="7">
        <v>0</v>
      </c>
      <c r="U50" s="17">
        <v>0</v>
      </c>
    </row>
    <row r="51" spans="1:21">
      <c r="A51" t="s">
        <v>45</v>
      </c>
      <c r="B51" s="10">
        <v>1698.4848741687315</v>
      </c>
      <c r="C51" s="7">
        <v>18733.955125831271</v>
      </c>
      <c r="D51" s="7">
        <v>0</v>
      </c>
      <c r="E51" s="7">
        <v>0</v>
      </c>
      <c r="F51" s="17">
        <f t="shared" si="1"/>
        <v>20432.440000000002</v>
      </c>
      <c r="K51" s="10">
        <v>8382</v>
      </c>
      <c r="L51" s="7">
        <v>0</v>
      </c>
      <c r="M51" s="7"/>
      <c r="N51" s="7">
        <v>46618</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3344192.9688403094</v>
      </c>
      <c r="C60" s="7">
        <f>SUM(C6:C58)</f>
        <v>10066575.645620817</v>
      </c>
      <c r="D60" s="7">
        <f>SUM(D6:D58)</f>
        <v>4151.4744524203061</v>
      </c>
      <c r="E60" s="7">
        <f>SUM(E6:E58)</f>
        <v>0</v>
      </c>
      <c r="F60" s="17">
        <f>SUM(F6:F58)</f>
        <v>13414920.088913547</v>
      </c>
      <c r="K60" s="10">
        <f>SUM(K6:K58)</f>
        <v>12164294</v>
      </c>
      <c r="L60" s="7">
        <f>SUM(L6:L58)</f>
        <v>4473210.9462700002</v>
      </c>
      <c r="M60" s="7"/>
      <c r="N60" s="7">
        <f>SUM(N6:N58)</f>
        <v>9814075</v>
      </c>
      <c r="O60" s="7">
        <f>SUM(O6:O58)</f>
        <v>1493192.4337299999</v>
      </c>
      <c r="P60" s="7"/>
      <c r="Q60" s="7">
        <f>SUM(Q6:Q58)</f>
        <v>81022</v>
      </c>
      <c r="R60" s="7">
        <f>SUM(R6:R58)</f>
        <v>100117</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Italic"Unison International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983.15078125000002</v>
      </c>
      <c r="C8" s="7">
        <v>0</v>
      </c>
      <c r="D8" s="7">
        <v>0</v>
      </c>
      <c r="E8" s="7">
        <v>0</v>
      </c>
      <c r="F8" s="17">
        <f t="shared" si="0"/>
        <v>983.15078125000002</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43058.400000000001</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38.044531249999999</v>
      </c>
      <c r="C21" s="7">
        <v>0</v>
      </c>
      <c r="D21" s="7">
        <v>0</v>
      </c>
      <c r="E21" s="7">
        <v>0</v>
      </c>
      <c r="F21" s="17">
        <f t="shared" si="0"/>
        <v>38.044531249999999</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368.43125000000003</v>
      </c>
      <c r="C24" s="7">
        <v>0</v>
      </c>
      <c r="D24" s="7">
        <v>0</v>
      </c>
      <c r="E24" s="7">
        <v>0</v>
      </c>
      <c r="F24" s="17">
        <f t="shared" si="0"/>
        <v>368.43125000000003</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43058.400000000001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43058.400000000001</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3178.0965057112676</v>
      </c>
      <c r="C31" s="7">
        <v>0</v>
      </c>
      <c r="D31" s="7">
        <v>0</v>
      </c>
      <c r="E31" s="7">
        <v>29057.635525538732</v>
      </c>
      <c r="F31" s="17">
        <f t="shared" si="0"/>
        <v>32235.732031249998</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961.125</v>
      </c>
      <c r="C41" s="7">
        <v>0</v>
      </c>
      <c r="D41" s="7">
        <v>0</v>
      </c>
      <c r="E41" s="7">
        <v>0</v>
      </c>
      <c r="F41" s="17">
        <f t="shared" si="1"/>
        <v>961.125</v>
      </c>
      <c r="K41" s="10"/>
      <c r="L41" s="7"/>
      <c r="M41" s="7"/>
      <c r="N41" s="7"/>
      <c r="O41" s="7"/>
      <c r="P41" s="7"/>
      <c r="Q41" s="7"/>
      <c r="R41" s="7"/>
      <c r="S41" s="7"/>
      <c r="T41" s="7"/>
      <c r="U41" s="17"/>
    </row>
    <row r="42" spans="1:21">
      <c r="A42" t="s">
        <v>36</v>
      </c>
      <c r="B42" s="10">
        <v>6583.7062500000011</v>
      </c>
      <c r="C42" s="7">
        <v>0</v>
      </c>
      <c r="D42" s="7">
        <v>0</v>
      </c>
      <c r="E42" s="7">
        <v>0</v>
      </c>
      <c r="F42" s="17">
        <f t="shared" si="1"/>
        <v>6583.7062500000011</v>
      </c>
      <c r="K42" s="10">
        <v>30000</v>
      </c>
      <c r="L42" s="7">
        <v>0</v>
      </c>
      <c r="M42" s="7"/>
      <c r="N42" s="7">
        <v>0</v>
      </c>
      <c r="O42" s="7">
        <v>0</v>
      </c>
      <c r="P42" s="7"/>
      <c r="Q42" s="7">
        <v>0</v>
      </c>
      <c r="R42" s="7">
        <v>0</v>
      </c>
      <c r="S42" s="7"/>
      <c r="T42" s="7">
        <v>0</v>
      </c>
      <c r="U42" s="17">
        <v>0</v>
      </c>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0</v>
      </c>
      <c r="E50" s="7">
        <v>0</v>
      </c>
      <c r="F50" s="17">
        <f t="shared" si="1"/>
        <v>0</v>
      </c>
      <c r="K50" s="10"/>
      <c r="L50" s="7"/>
      <c r="M50" s="7"/>
      <c r="N50" s="7"/>
      <c r="O50" s="7"/>
      <c r="P50" s="7"/>
      <c r="Q50" s="7"/>
      <c r="R50" s="7"/>
      <c r="S50" s="7"/>
      <c r="T50" s="7"/>
      <c r="U50" s="17"/>
    </row>
    <row r="51" spans="1:21">
      <c r="A51" t="s">
        <v>45</v>
      </c>
      <c r="B51" s="10">
        <v>1677.6865743941121</v>
      </c>
      <c r="C51" s="7">
        <v>210.5235818558881</v>
      </c>
      <c r="D51" s="7">
        <v>0</v>
      </c>
      <c r="E51" s="7">
        <v>0</v>
      </c>
      <c r="F51" s="17">
        <f t="shared" si="1"/>
        <v>1888.2101562500002</v>
      </c>
      <c r="K51" s="10">
        <v>27000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13790.240892605381</v>
      </c>
      <c r="C60" s="7">
        <f>SUM(C6:C58)</f>
        <v>210.5235818558881</v>
      </c>
      <c r="D60" s="7">
        <f>SUM(D6:D58)</f>
        <v>0</v>
      </c>
      <c r="E60" s="7">
        <f>SUM(E6:E58)</f>
        <v>29057.635525538732</v>
      </c>
      <c r="F60" s="17">
        <f>SUM(F6:F58)</f>
        <v>43058.400000000001</v>
      </c>
      <c r="K60" s="10">
        <f>SUM(K6:K58)</f>
        <v>57000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Italic"United Republic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82</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59694.673284786048</v>
      </c>
      <c r="E8" s="7">
        <v>0</v>
      </c>
      <c r="F8" s="17">
        <f t="shared" si="0"/>
        <v>59694.673284786048</v>
      </c>
      <c r="H8" s="4" t="s">
        <v>64</v>
      </c>
      <c r="I8" s="13"/>
      <c r="K8" s="10"/>
      <c r="L8" s="7"/>
      <c r="M8" s="7"/>
      <c r="N8" s="7"/>
      <c r="O8" s="7"/>
      <c r="P8" s="7"/>
      <c r="Q8" s="7"/>
      <c r="R8" s="7"/>
      <c r="S8" s="7"/>
      <c r="T8" s="7"/>
      <c r="U8" s="17"/>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0</v>
      </c>
      <c r="E10" s="7">
        <v>0</v>
      </c>
      <c r="F10" s="17">
        <f t="shared" si="0"/>
        <v>0</v>
      </c>
      <c r="H10" s="4" t="s">
        <v>65</v>
      </c>
      <c r="I10" s="14">
        <v>0</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83799.110675992619</v>
      </c>
      <c r="E15" s="7">
        <v>0</v>
      </c>
      <c r="F15" s="17">
        <f t="shared" si="0"/>
        <v>83799.110675992619</v>
      </c>
      <c r="H15" s="4" t="s">
        <v>69</v>
      </c>
      <c r="I15" s="14">
        <v>383406.32</v>
      </c>
      <c r="K15" s="10"/>
      <c r="L15" s="7"/>
      <c r="M15" s="7"/>
      <c r="N15" s="7"/>
      <c r="O15" s="7"/>
      <c r="P15" s="7"/>
      <c r="Q15" s="7"/>
      <c r="R15" s="7"/>
      <c r="S15" s="7"/>
      <c r="T15" s="7"/>
      <c r="U15" s="17"/>
    </row>
    <row r="16" spans="1:21">
      <c r="A16" t="s">
        <v>10</v>
      </c>
      <c r="B16" s="10">
        <v>0</v>
      </c>
      <c r="C16" s="7">
        <v>0</v>
      </c>
      <c r="D16" s="7">
        <v>39687.509043548744</v>
      </c>
      <c r="E16" s="7">
        <v>0</v>
      </c>
      <c r="F16" s="17">
        <f t="shared" si="0"/>
        <v>39687.509043548744</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7583.0129939729895</v>
      </c>
      <c r="E24" s="7">
        <v>0</v>
      </c>
      <c r="F24" s="17">
        <f t="shared" si="0"/>
        <v>7583.0129939729895</v>
      </c>
      <c r="H24" s="4" t="s">
        <v>77</v>
      </c>
      <c r="I24" s="14">
        <v>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383406.32</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383406.32</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36004.274017126649</v>
      </c>
      <c r="E30" s="7">
        <v>0</v>
      </c>
      <c r="F30" s="17">
        <f t="shared" si="0"/>
        <v>36004.274017126649</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3143.8827008327994</v>
      </c>
      <c r="E34" s="7">
        <v>0</v>
      </c>
      <c r="F34" s="17">
        <f t="shared" si="0"/>
        <v>3143.8827008327994</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59543.29372871916</v>
      </c>
      <c r="E39" s="7">
        <v>0</v>
      </c>
      <c r="F39" s="17">
        <f t="shared" si="1"/>
        <v>59543.29372871916</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2242.6229597458459</v>
      </c>
      <c r="E41" s="7">
        <v>0</v>
      </c>
      <c r="F41" s="17">
        <f t="shared" si="1"/>
        <v>2242.6229597458459</v>
      </c>
      <c r="K41" s="10"/>
      <c r="L41" s="7"/>
      <c r="M41" s="7"/>
      <c r="N41" s="7"/>
      <c r="O41" s="7"/>
      <c r="P41" s="7"/>
      <c r="Q41" s="7"/>
      <c r="R41" s="7"/>
      <c r="S41" s="7"/>
      <c r="T41" s="7"/>
      <c r="U41" s="17"/>
    </row>
    <row r="42" spans="1:21">
      <c r="A42" t="s">
        <v>36</v>
      </c>
      <c r="B42" s="10">
        <v>0</v>
      </c>
      <c r="C42" s="7">
        <v>0</v>
      </c>
      <c r="D42" s="7">
        <v>0</v>
      </c>
      <c r="E42" s="7">
        <v>0</v>
      </c>
      <c r="F42" s="17">
        <f t="shared" si="1"/>
        <v>0</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11196.0720672515</v>
      </c>
      <c r="E44" s="7">
        <v>0</v>
      </c>
      <c r="F44" s="17">
        <f t="shared" si="1"/>
        <v>11196.0720672515</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33124.052397390471</v>
      </c>
      <c r="E47" s="7">
        <v>0</v>
      </c>
      <c r="F47" s="17">
        <f t="shared" si="1"/>
        <v>33124.052397390471</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38138.625506308097</v>
      </c>
      <c r="E50" s="7">
        <v>0</v>
      </c>
      <c r="F50" s="17">
        <f t="shared" si="1"/>
        <v>38138.625506308097</v>
      </c>
      <c r="K50" s="10"/>
      <c r="L50" s="7"/>
      <c r="M50" s="7"/>
      <c r="N50" s="7"/>
      <c r="O50" s="7"/>
      <c r="P50" s="7"/>
      <c r="Q50" s="7"/>
      <c r="R50" s="7"/>
      <c r="S50" s="7"/>
      <c r="T50" s="7"/>
      <c r="U50" s="17"/>
    </row>
    <row r="51" spans="1:21">
      <c r="A51" t="s">
        <v>45</v>
      </c>
      <c r="B51" s="10">
        <v>0</v>
      </c>
      <c r="C51" s="7">
        <v>0</v>
      </c>
      <c r="D51" s="7">
        <v>9249.1906243250669</v>
      </c>
      <c r="E51" s="7">
        <v>0</v>
      </c>
      <c r="F51" s="17">
        <f t="shared" si="1"/>
        <v>9249.1906243250669</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383406.32</v>
      </c>
      <c r="E60" s="7">
        <f>SUM(E6:E58)</f>
        <v>0</v>
      </c>
      <c r="F60" s="17">
        <f>SUM(F6:F58)</f>
        <v>383406.32</v>
      </c>
      <c r="K60" s="10">
        <f>SUM(K6:K58)</f>
        <v>0</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Italic"Universal Health Care Insurance Company, Inc.&amp;R&amp;"Geneva,Bold"UNAUDITED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81</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8100048.8786218055</v>
      </c>
      <c r="C6" s="7">
        <v>0</v>
      </c>
      <c r="D6" s="7">
        <v>-5401.1274779214291</v>
      </c>
      <c r="E6" s="7">
        <v>0</v>
      </c>
      <c r="F6" s="17">
        <f t="shared" ref="F6:F37" si="0">SUM(B6:E6)</f>
        <v>8094647.7511438839</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-99790.812889451772</v>
      </c>
      <c r="C9" s="7">
        <v>0</v>
      </c>
      <c r="D9" s="7">
        <v>1140.7868549568757</v>
      </c>
      <c r="E9" s="7">
        <v>0</v>
      </c>
      <c r="F9" s="17">
        <f t="shared" si="0"/>
        <v>-98650.026034494891</v>
      </c>
      <c r="H9" s="4"/>
      <c r="I9" s="13"/>
      <c r="K9" s="10">
        <v>0</v>
      </c>
      <c r="L9" s="7">
        <v>0</v>
      </c>
      <c r="M9" s="7"/>
      <c r="N9" s="7">
        <v>0</v>
      </c>
      <c r="O9" s="7">
        <v>0</v>
      </c>
      <c r="P9" s="7"/>
      <c r="Q9" s="7">
        <v>0</v>
      </c>
      <c r="R9" s="7">
        <v>0</v>
      </c>
      <c r="S9" s="7"/>
      <c r="T9" s="7">
        <v>0</v>
      </c>
      <c r="U9" s="17">
        <v>0</v>
      </c>
    </row>
    <row r="10" spans="1:21">
      <c r="A10" t="s">
        <v>4</v>
      </c>
      <c r="B10" s="10">
        <v>289804.21345804655</v>
      </c>
      <c r="C10" s="7">
        <v>0</v>
      </c>
      <c r="D10" s="7">
        <v>140.69227889305512</v>
      </c>
      <c r="E10" s="7">
        <v>0</v>
      </c>
      <c r="F10" s="17">
        <f t="shared" si="0"/>
        <v>289944.90573693963</v>
      </c>
      <c r="H10" s="4" t="s">
        <v>65</v>
      </c>
      <c r="I10" s="14">
        <v>12134648</v>
      </c>
      <c r="K10" s="10"/>
      <c r="L10" s="7"/>
      <c r="M10" s="7"/>
      <c r="N10" s="7"/>
      <c r="O10" s="7"/>
      <c r="P10" s="7"/>
      <c r="Q10" s="7"/>
      <c r="R10" s="7"/>
      <c r="S10" s="7"/>
      <c r="T10" s="7"/>
      <c r="U10" s="17"/>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709334</v>
      </c>
      <c r="K13" s="10"/>
      <c r="L13" s="7"/>
      <c r="M13" s="7"/>
      <c r="N13" s="7"/>
      <c r="O13" s="7"/>
      <c r="P13" s="7"/>
      <c r="Q13" s="7"/>
      <c r="R13" s="7"/>
      <c r="S13" s="7"/>
      <c r="T13" s="7"/>
      <c r="U13" s="17"/>
    </row>
    <row r="14" spans="1:21">
      <c r="A14" t="s">
        <v>8</v>
      </c>
      <c r="B14" s="10">
        <v>3778.998703704764</v>
      </c>
      <c r="C14" s="7">
        <v>0</v>
      </c>
      <c r="D14" s="7">
        <v>0</v>
      </c>
      <c r="E14" s="7">
        <v>0</v>
      </c>
      <c r="F14" s="17">
        <f t="shared" si="0"/>
        <v>3778.998703704764</v>
      </c>
      <c r="H14" s="4" t="s">
        <v>68</v>
      </c>
      <c r="I14" s="14">
        <v>731790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1502298.8039999998</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11425314</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12134648</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-1258.7134222037312</v>
      </c>
      <c r="C22" s="7">
        <v>0</v>
      </c>
      <c r="D22" s="7">
        <v>-15.290717796762692</v>
      </c>
      <c r="E22" s="7">
        <v>0</v>
      </c>
      <c r="F22" s="17">
        <f t="shared" si="0"/>
        <v>-1274.0041400004939</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480879.18606708397</v>
      </c>
      <c r="C24" s="7">
        <v>0</v>
      </c>
      <c r="D24" s="7">
        <v>544.70582460808691</v>
      </c>
      <c r="E24" s="7">
        <v>0</v>
      </c>
      <c r="F24" s="17">
        <f t="shared" si="0"/>
        <v>481423.89189169207</v>
      </c>
      <c r="H24" s="4" t="s">
        <v>77</v>
      </c>
      <c r="I24" s="14">
        <v>4460790</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9907946.8039999977</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9907946.8040000014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67434.764564691766</v>
      </c>
      <c r="C30" s="7">
        <v>0</v>
      </c>
      <c r="D30" s="7">
        <v>5993.2161401911844</v>
      </c>
      <c r="E30" s="7">
        <v>0</v>
      </c>
      <c r="F30" s="17">
        <f t="shared" si="0"/>
        <v>73427.980704882953</v>
      </c>
      <c r="K30" s="10"/>
      <c r="L30" s="7"/>
      <c r="M30" s="7"/>
      <c r="N30" s="7"/>
      <c r="O30" s="7"/>
      <c r="P30" s="7"/>
      <c r="Q30" s="7"/>
      <c r="R30" s="7"/>
      <c r="S30" s="7"/>
      <c r="T30" s="7"/>
      <c r="U30" s="17"/>
    </row>
    <row r="31" spans="1:21">
      <c r="A31" t="s">
        <v>25</v>
      </c>
      <c r="B31" s="10">
        <v>50856.026791998986</v>
      </c>
      <c r="C31" s="7">
        <v>0</v>
      </c>
      <c r="D31" s="7">
        <v>1842.959199868194</v>
      </c>
      <c r="E31" s="7">
        <v>0</v>
      </c>
      <c r="F31" s="17">
        <f t="shared" si="0"/>
        <v>52698.985991867179</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26187.991910031822</v>
      </c>
      <c r="C42" s="7">
        <v>0</v>
      </c>
      <c r="D42" s="7">
        <v>0</v>
      </c>
      <c r="E42" s="7">
        <v>0</v>
      </c>
      <c r="F42" s="17">
        <f t="shared" si="1"/>
        <v>26187.991910031822</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403803.43990427139</v>
      </c>
      <c r="C49" s="7">
        <v>0</v>
      </c>
      <c r="D49" s="7">
        <v>-478.92374816512165</v>
      </c>
      <c r="E49" s="7">
        <v>0</v>
      </c>
      <c r="F49" s="17">
        <f t="shared" si="1"/>
        <v>403324.51615610626</v>
      </c>
      <c r="K49" s="10"/>
      <c r="L49" s="7"/>
      <c r="M49" s="7"/>
      <c r="N49" s="7"/>
      <c r="O49" s="7"/>
      <c r="P49" s="7"/>
      <c r="Q49" s="7"/>
      <c r="R49" s="7"/>
      <c r="S49" s="7"/>
      <c r="T49" s="7"/>
      <c r="U49" s="17"/>
    </row>
    <row r="50" spans="1:21">
      <c r="A50" t="s">
        <v>44</v>
      </c>
      <c r="B50" s="10">
        <v>377392.68307116476</v>
      </c>
      <c r="C50" s="7">
        <v>0</v>
      </c>
      <c r="D50" s="7">
        <v>364.23550656322732</v>
      </c>
      <c r="E50" s="7">
        <v>0</v>
      </c>
      <c r="F50" s="17">
        <f t="shared" si="1"/>
        <v>377756.91857772798</v>
      </c>
      <c r="K50" s="10">
        <v>224994</v>
      </c>
      <c r="L50" s="7">
        <v>0</v>
      </c>
      <c r="M50" s="7"/>
      <c r="N50" s="7">
        <v>0</v>
      </c>
      <c r="O50" s="7">
        <v>0</v>
      </c>
      <c r="P50" s="7"/>
      <c r="Q50" s="7">
        <v>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205034.26180363609</v>
      </c>
      <c r="C53" s="7">
        <v>0</v>
      </c>
      <c r="D53" s="7">
        <v>-355.3684459766846</v>
      </c>
      <c r="E53" s="7">
        <v>0</v>
      </c>
      <c r="F53" s="17">
        <f t="shared" si="1"/>
        <v>204678.8933576594</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9904170.9185847789</v>
      </c>
      <c r="C60" s="7">
        <f>SUM(C6:C58)</f>
        <v>0</v>
      </c>
      <c r="D60" s="7">
        <f>SUM(D6:D58)</f>
        <v>3775.8854152206259</v>
      </c>
      <c r="E60" s="7">
        <f>SUM(E6:E58)</f>
        <v>0</v>
      </c>
      <c r="F60" s="17">
        <f>SUM(F6:F58)</f>
        <v>9907946.8040000014</v>
      </c>
      <c r="K60" s="10">
        <f>SUM(K6:K58)</f>
        <v>224994</v>
      </c>
      <c r="L60" s="7">
        <f>SUM(L6:L58)</f>
        <v>0</v>
      </c>
      <c r="M60" s="7"/>
      <c r="N60" s="7">
        <f>SUM(N6:N58)</f>
        <v>0</v>
      </c>
      <c r="O60" s="7">
        <f>SUM(O6:O58)</f>
        <v>0</v>
      </c>
      <c r="P60" s="7"/>
      <c r="Q60" s="7">
        <f>SUM(Q6:Q58)</f>
        <v>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Italic"Universal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80</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21277.808760361364</v>
      </c>
      <c r="E7" s="7">
        <v>0</v>
      </c>
      <c r="F7" s="17">
        <f t="shared" si="0"/>
        <v>21277.808760361364</v>
      </c>
      <c r="H7" s="22"/>
      <c r="I7" s="24"/>
      <c r="K7" s="10">
        <v>0</v>
      </c>
      <c r="L7" s="7">
        <v>0</v>
      </c>
      <c r="M7" s="7"/>
      <c r="N7" s="7">
        <v>0</v>
      </c>
      <c r="O7" s="7">
        <v>0</v>
      </c>
      <c r="P7" s="7"/>
      <c r="Q7" s="7">
        <v>25000</v>
      </c>
      <c r="R7" s="7">
        <v>0</v>
      </c>
      <c r="S7" s="7"/>
      <c r="T7" s="7">
        <v>0</v>
      </c>
      <c r="U7" s="17">
        <v>0</v>
      </c>
    </row>
    <row r="8" spans="1:21">
      <c r="A8" t="s">
        <v>2</v>
      </c>
      <c r="B8" s="10">
        <v>0</v>
      </c>
      <c r="C8" s="7">
        <v>0</v>
      </c>
      <c r="D8" s="7">
        <v>517.44174856264726</v>
      </c>
      <c r="E8" s="7">
        <v>0</v>
      </c>
      <c r="F8" s="17">
        <f t="shared" si="0"/>
        <v>517.44174856264726</v>
      </c>
      <c r="H8" s="4" t="s">
        <v>64</v>
      </c>
      <c r="I8" s="13"/>
      <c r="K8" s="10"/>
      <c r="L8" s="7"/>
      <c r="M8" s="7"/>
      <c r="N8" s="7"/>
      <c r="O8" s="7"/>
      <c r="P8" s="7"/>
      <c r="Q8" s="7"/>
      <c r="R8" s="7"/>
      <c r="S8" s="7"/>
      <c r="T8" s="7"/>
      <c r="U8" s="17"/>
    </row>
    <row r="9" spans="1:21">
      <c r="A9" t="s">
        <v>3</v>
      </c>
      <c r="B9" s="10">
        <v>0</v>
      </c>
      <c r="C9" s="7">
        <v>0</v>
      </c>
      <c r="D9" s="7">
        <v>30716.768904282035</v>
      </c>
      <c r="E9" s="7">
        <v>0</v>
      </c>
      <c r="F9" s="17">
        <f t="shared" si="0"/>
        <v>30716.768904282035</v>
      </c>
      <c r="H9" s="4"/>
      <c r="I9" s="13"/>
      <c r="K9" s="10">
        <v>84049</v>
      </c>
      <c r="L9" s="7">
        <v>0</v>
      </c>
      <c r="M9" s="7"/>
      <c r="N9" s="7">
        <v>0</v>
      </c>
      <c r="O9" s="7">
        <v>0</v>
      </c>
      <c r="P9" s="7"/>
      <c r="Q9" s="7">
        <v>0</v>
      </c>
      <c r="R9" s="7">
        <v>0</v>
      </c>
      <c r="S9" s="7"/>
      <c r="T9" s="7">
        <v>0</v>
      </c>
      <c r="U9" s="17">
        <v>0</v>
      </c>
    </row>
    <row r="10" spans="1:21">
      <c r="A10" t="s">
        <v>4</v>
      </c>
      <c r="B10" s="10">
        <v>0</v>
      </c>
      <c r="C10" s="7">
        <v>0</v>
      </c>
      <c r="D10" s="7">
        <v>186133.15322063645</v>
      </c>
      <c r="E10" s="7">
        <v>0</v>
      </c>
      <c r="F10" s="17">
        <f t="shared" si="0"/>
        <v>186133.15322063645</v>
      </c>
      <c r="H10" s="4" t="s">
        <v>65</v>
      </c>
      <c r="I10" s="14">
        <v>11764659.76</v>
      </c>
      <c r="K10" s="10">
        <v>0</v>
      </c>
      <c r="L10" s="7">
        <v>0</v>
      </c>
      <c r="M10" s="7"/>
      <c r="N10" s="7">
        <v>0</v>
      </c>
      <c r="O10" s="7">
        <v>0</v>
      </c>
      <c r="P10" s="7"/>
      <c r="Q10" s="7">
        <v>300000</v>
      </c>
      <c r="R10" s="7">
        <v>0</v>
      </c>
      <c r="S10" s="7"/>
      <c r="T10" s="7">
        <v>0</v>
      </c>
      <c r="U10" s="17">
        <v>0</v>
      </c>
    </row>
    <row r="11" spans="1:21">
      <c r="A11" t="s">
        <v>5</v>
      </c>
      <c r="B11" s="10">
        <v>0</v>
      </c>
      <c r="C11" s="7">
        <v>0</v>
      </c>
      <c r="D11" s="7">
        <v>334129.92115184513</v>
      </c>
      <c r="E11" s="7">
        <v>0</v>
      </c>
      <c r="F11" s="17">
        <f t="shared" si="0"/>
        <v>334129.92115184513</v>
      </c>
      <c r="H11" s="4"/>
      <c r="I11" s="14"/>
      <c r="K11" s="10">
        <v>0</v>
      </c>
      <c r="L11" s="7">
        <v>0</v>
      </c>
      <c r="M11" s="7"/>
      <c r="N11" s="7">
        <v>0</v>
      </c>
      <c r="O11" s="7">
        <v>0</v>
      </c>
      <c r="P11" s="7"/>
      <c r="Q11" s="7">
        <v>481162</v>
      </c>
      <c r="R11" s="7">
        <v>816500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6431483.7800000003</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935654.02</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1098289.4479999996</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708.72059997408542</v>
      </c>
      <c r="E17" s="7">
        <v>0</v>
      </c>
      <c r="F17" s="17">
        <f t="shared" si="0"/>
        <v>708.72059997408542</v>
      </c>
      <c r="H17" s="4"/>
      <c r="I17" s="14"/>
      <c r="K17" s="10"/>
      <c r="L17" s="7"/>
      <c r="M17" s="7"/>
      <c r="N17" s="7"/>
      <c r="O17" s="7"/>
      <c r="P17" s="7"/>
      <c r="Q17" s="7"/>
      <c r="R17" s="7"/>
      <c r="S17" s="7"/>
      <c r="T17" s="7"/>
      <c r="U17" s="17"/>
    </row>
    <row r="18" spans="1:21">
      <c r="A18" t="s">
        <v>12</v>
      </c>
      <c r="B18" s="10">
        <v>0</v>
      </c>
      <c r="C18" s="7">
        <v>0</v>
      </c>
      <c r="D18" s="7">
        <v>337785.7636825745</v>
      </c>
      <c r="E18" s="7">
        <v>0</v>
      </c>
      <c r="F18" s="17">
        <f t="shared" si="0"/>
        <v>337785.7636825745</v>
      </c>
      <c r="H18" s="4" t="s">
        <v>71</v>
      </c>
      <c r="I18" s="14"/>
      <c r="K18" s="10">
        <v>22765</v>
      </c>
      <c r="L18" s="7">
        <v>0</v>
      </c>
      <c r="M18" s="7"/>
      <c r="N18" s="7">
        <v>0</v>
      </c>
      <c r="O18" s="7">
        <v>0</v>
      </c>
      <c r="P18" s="7"/>
      <c r="Q18" s="7">
        <v>432235</v>
      </c>
      <c r="R18" s="7">
        <v>0</v>
      </c>
      <c r="S18" s="7"/>
      <c r="T18" s="7">
        <v>0</v>
      </c>
      <c r="U18" s="17">
        <v>0</v>
      </c>
    </row>
    <row r="19" spans="1:21">
      <c r="A19" t="s">
        <v>13</v>
      </c>
      <c r="B19" s="10">
        <v>0</v>
      </c>
      <c r="C19" s="7">
        <v>0</v>
      </c>
      <c r="D19" s="7">
        <v>19324.514842427918</v>
      </c>
      <c r="E19" s="7">
        <v>0</v>
      </c>
      <c r="F19" s="17">
        <f t="shared" si="0"/>
        <v>19324.514842427918</v>
      </c>
      <c r="H19" s="4" t="s">
        <v>72</v>
      </c>
      <c r="I19" s="14">
        <v>0</v>
      </c>
      <c r="K19" s="10">
        <v>0</v>
      </c>
      <c r="L19" s="7">
        <v>0</v>
      </c>
      <c r="M19" s="7"/>
      <c r="N19" s="7">
        <v>0</v>
      </c>
      <c r="O19" s="7">
        <v>0</v>
      </c>
      <c r="P19" s="7"/>
      <c r="Q19" s="7">
        <v>140000</v>
      </c>
      <c r="R19" s="7">
        <v>0</v>
      </c>
      <c r="S19" s="7"/>
      <c r="T19" s="7">
        <v>0</v>
      </c>
      <c r="U19" s="17">
        <v>0</v>
      </c>
    </row>
    <row r="20" spans="1:21">
      <c r="A20" t="s">
        <v>14</v>
      </c>
      <c r="B20" s="10">
        <v>0</v>
      </c>
      <c r="C20" s="7">
        <v>0</v>
      </c>
      <c r="D20" s="7">
        <v>2441.1717177920764</v>
      </c>
      <c r="E20" s="7">
        <v>0</v>
      </c>
      <c r="F20" s="17">
        <f t="shared" si="0"/>
        <v>2441.1717177920764</v>
      </c>
      <c r="H20" s="4" t="s">
        <v>73</v>
      </c>
      <c r="I20" s="14">
        <v>6312722.7800000003</v>
      </c>
      <c r="K20" s="10"/>
      <c r="L20" s="7"/>
      <c r="M20" s="7"/>
      <c r="N20" s="7"/>
      <c r="O20" s="7"/>
      <c r="P20" s="7"/>
      <c r="Q20" s="7"/>
      <c r="R20" s="7"/>
      <c r="S20" s="7"/>
      <c r="T20" s="7"/>
      <c r="U20" s="17"/>
    </row>
    <row r="21" spans="1:21">
      <c r="A21" t="s">
        <v>15</v>
      </c>
      <c r="B21" s="10">
        <v>0</v>
      </c>
      <c r="C21" s="7">
        <v>0</v>
      </c>
      <c r="D21" s="7">
        <v>655448.00364806375</v>
      </c>
      <c r="E21" s="7">
        <v>0</v>
      </c>
      <c r="F21" s="17">
        <f t="shared" si="0"/>
        <v>655448.00364806375</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3497175.73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10420188.497999998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10420188.498</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58131.987375441167</v>
      </c>
      <c r="E30" s="7">
        <v>0</v>
      </c>
      <c r="F30" s="17">
        <f t="shared" si="0"/>
        <v>58131.987375441167</v>
      </c>
      <c r="K30" s="10"/>
      <c r="L30" s="7"/>
      <c r="M30" s="7"/>
      <c r="N30" s="7"/>
      <c r="O30" s="7"/>
      <c r="P30" s="7"/>
      <c r="Q30" s="7"/>
      <c r="R30" s="7"/>
      <c r="S30" s="7"/>
      <c r="T30" s="7"/>
      <c r="U30" s="17"/>
    </row>
    <row r="31" spans="1:21">
      <c r="A31" t="s">
        <v>25</v>
      </c>
      <c r="B31" s="10">
        <v>0</v>
      </c>
      <c r="C31" s="7">
        <v>0</v>
      </c>
      <c r="D31" s="7">
        <v>210254.26786257693</v>
      </c>
      <c r="E31" s="7">
        <v>0</v>
      </c>
      <c r="F31" s="17">
        <f t="shared" si="0"/>
        <v>210254.26786257693</v>
      </c>
      <c r="K31" s="10"/>
      <c r="L31" s="7"/>
      <c r="M31" s="7"/>
      <c r="N31" s="7"/>
      <c r="O31" s="7"/>
      <c r="P31" s="7"/>
      <c r="Q31" s="7"/>
      <c r="R31" s="7"/>
      <c r="S31" s="7"/>
      <c r="T31" s="7"/>
      <c r="U31" s="17"/>
    </row>
    <row r="32" spans="1:21">
      <c r="A32" t="s">
        <v>26</v>
      </c>
      <c r="B32" s="10">
        <v>0</v>
      </c>
      <c r="C32" s="7">
        <v>0</v>
      </c>
      <c r="D32" s="7">
        <v>194410.55153822395</v>
      </c>
      <c r="E32" s="7">
        <v>0</v>
      </c>
      <c r="F32" s="17">
        <f t="shared" si="0"/>
        <v>194410.55153822395</v>
      </c>
      <c r="K32" s="10">
        <v>0</v>
      </c>
      <c r="L32" s="7">
        <v>0</v>
      </c>
      <c r="M32" s="7"/>
      <c r="N32" s="7">
        <v>0</v>
      </c>
      <c r="O32" s="7">
        <v>0</v>
      </c>
      <c r="P32" s="7"/>
      <c r="Q32" s="7">
        <v>315000</v>
      </c>
      <c r="R32" s="7">
        <v>0</v>
      </c>
      <c r="S32" s="7"/>
      <c r="T32" s="7">
        <v>0</v>
      </c>
      <c r="U32" s="17">
        <v>0</v>
      </c>
    </row>
    <row r="33" spans="1:21">
      <c r="A33" t="s">
        <v>27</v>
      </c>
      <c r="B33" s="10">
        <v>0</v>
      </c>
      <c r="C33" s="7">
        <v>0</v>
      </c>
      <c r="D33" s="7">
        <v>233824.39113650459</v>
      </c>
      <c r="E33" s="7">
        <v>0</v>
      </c>
      <c r="F33" s="17">
        <f t="shared" si="0"/>
        <v>233824.39113650459</v>
      </c>
      <c r="K33" s="10"/>
      <c r="L33" s="7"/>
      <c r="M33" s="7"/>
      <c r="N33" s="7"/>
      <c r="O33" s="7"/>
      <c r="P33" s="7"/>
      <c r="Q33" s="7"/>
      <c r="R33" s="7"/>
      <c r="S33" s="7"/>
      <c r="T33" s="7"/>
      <c r="U33" s="17"/>
    </row>
    <row r="34" spans="1:21">
      <c r="A34" t="s">
        <v>28</v>
      </c>
      <c r="B34" s="10">
        <v>0</v>
      </c>
      <c r="C34" s="7">
        <v>0</v>
      </c>
      <c r="D34" s="7">
        <v>81019.420008308778</v>
      </c>
      <c r="E34" s="7">
        <v>0</v>
      </c>
      <c r="F34" s="17">
        <f t="shared" si="0"/>
        <v>81019.420008308778</v>
      </c>
      <c r="K34" s="10">
        <v>0</v>
      </c>
      <c r="L34" s="7">
        <v>0</v>
      </c>
      <c r="M34" s="7"/>
      <c r="N34" s="7">
        <v>0</v>
      </c>
      <c r="O34" s="7">
        <v>0</v>
      </c>
      <c r="P34" s="7"/>
      <c r="Q34" s="7">
        <v>100000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1283.0611313741465</v>
      </c>
      <c r="E37" s="7">
        <v>0</v>
      </c>
      <c r="F37" s="17">
        <f t="shared" si="0"/>
        <v>1283.0611313741465</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13062.092523023217</v>
      </c>
      <c r="E40" s="7">
        <v>0</v>
      </c>
      <c r="F40" s="17">
        <f t="shared" si="1"/>
        <v>13062.092523023217</v>
      </c>
      <c r="K40" s="10">
        <v>0</v>
      </c>
      <c r="L40" s="7">
        <v>0</v>
      </c>
      <c r="M40" s="7"/>
      <c r="N40" s="7">
        <v>5000</v>
      </c>
      <c r="O40" s="7">
        <v>0</v>
      </c>
      <c r="P40" s="7"/>
      <c r="Q40" s="7">
        <v>14400</v>
      </c>
      <c r="R40" s="7">
        <v>0</v>
      </c>
      <c r="S40" s="7"/>
      <c r="T40" s="7">
        <v>0</v>
      </c>
      <c r="U40" s="17">
        <v>0</v>
      </c>
    </row>
    <row r="41" spans="1:21">
      <c r="A41" t="s">
        <v>35</v>
      </c>
      <c r="B41" s="10">
        <v>0</v>
      </c>
      <c r="C41" s="7">
        <v>0</v>
      </c>
      <c r="D41" s="7">
        <v>5540.5367177676908</v>
      </c>
      <c r="E41" s="7">
        <v>0</v>
      </c>
      <c r="F41" s="17">
        <f t="shared" si="1"/>
        <v>5540.5367177676908</v>
      </c>
      <c r="K41" s="10"/>
      <c r="L41" s="7"/>
      <c r="M41" s="7"/>
      <c r="N41" s="7"/>
      <c r="O41" s="7"/>
      <c r="P41" s="7"/>
      <c r="Q41" s="7"/>
      <c r="R41" s="7"/>
      <c r="S41" s="7"/>
      <c r="T41" s="7"/>
      <c r="U41" s="17"/>
    </row>
    <row r="42" spans="1:21">
      <c r="A42" t="s">
        <v>36</v>
      </c>
      <c r="B42" s="10">
        <v>0</v>
      </c>
      <c r="C42" s="7">
        <v>0</v>
      </c>
      <c r="D42" s="7">
        <v>21382.649176520878</v>
      </c>
      <c r="E42" s="7">
        <v>0</v>
      </c>
      <c r="F42" s="17">
        <f t="shared" si="1"/>
        <v>21382.649176520878</v>
      </c>
      <c r="K42" s="10">
        <v>6000</v>
      </c>
      <c r="L42" s="7">
        <v>0</v>
      </c>
      <c r="M42" s="7"/>
      <c r="N42" s="7">
        <v>0</v>
      </c>
      <c r="O42" s="7">
        <v>0</v>
      </c>
      <c r="P42" s="7"/>
      <c r="Q42" s="7">
        <v>114000</v>
      </c>
      <c r="R42" s="7">
        <v>0</v>
      </c>
      <c r="S42" s="7"/>
      <c r="T42" s="7">
        <v>0</v>
      </c>
      <c r="U42" s="17">
        <v>0</v>
      </c>
    </row>
    <row r="43" spans="1:21">
      <c r="A43" t="s">
        <v>37</v>
      </c>
      <c r="B43" s="10">
        <v>0</v>
      </c>
      <c r="C43" s="7">
        <v>0</v>
      </c>
      <c r="D43" s="7">
        <v>397253.12570455868</v>
      </c>
      <c r="E43" s="7">
        <v>0</v>
      </c>
      <c r="F43" s="17">
        <f t="shared" si="1"/>
        <v>397253.12570455868</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7791.3957184255487</v>
      </c>
      <c r="E48" s="7">
        <v>0</v>
      </c>
      <c r="F48" s="17">
        <f t="shared" si="1"/>
        <v>7791.3957184255487</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0</v>
      </c>
      <c r="C50" s="7">
        <v>0</v>
      </c>
      <c r="D50" s="7">
        <v>299854.27645912452</v>
      </c>
      <c r="E50" s="7">
        <v>0</v>
      </c>
      <c r="F50" s="17">
        <f t="shared" si="1"/>
        <v>299854.27645912452</v>
      </c>
      <c r="K50" s="10">
        <v>9502</v>
      </c>
      <c r="L50" s="7">
        <v>718.197</v>
      </c>
      <c r="M50" s="7"/>
      <c r="N50" s="7">
        <v>0</v>
      </c>
      <c r="O50" s="7">
        <v>0</v>
      </c>
      <c r="P50" s="7"/>
      <c r="Q50" s="7">
        <v>465584</v>
      </c>
      <c r="R50" s="7">
        <v>35191.652999999998</v>
      </c>
      <c r="S50" s="7"/>
      <c r="T50" s="7">
        <v>0</v>
      </c>
      <c r="U50" s="17">
        <v>0</v>
      </c>
    </row>
    <row r="51" spans="1:21">
      <c r="A51" t="s">
        <v>45</v>
      </c>
      <c r="B51" s="10">
        <v>0</v>
      </c>
      <c r="C51" s="7">
        <v>0</v>
      </c>
      <c r="D51" s="7">
        <v>0.8692815971080563</v>
      </c>
      <c r="E51" s="7">
        <v>0</v>
      </c>
      <c r="F51" s="17">
        <f t="shared" si="1"/>
        <v>0.8692815971080563</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7279691.2959657907</v>
      </c>
      <c r="E54" s="7">
        <v>0</v>
      </c>
      <c r="F54" s="17">
        <f t="shared" si="1"/>
        <v>7279691.2959657907</v>
      </c>
      <c r="K54" s="10">
        <v>0</v>
      </c>
      <c r="L54" s="7">
        <v>0</v>
      </c>
      <c r="M54" s="7"/>
      <c r="N54" s="7">
        <v>0</v>
      </c>
      <c r="O54" s="7">
        <v>0</v>
      </c>
      <c r="P54" s="7"/>
      <c r="Q54" s="7">
        <v>5225000</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28205.309124241976</v>
      </c>
      <c r="E57" s="7">
        <v>0</v>
      </c>
      <c r="F57" s="17">
        <f t="shared" si="1"/>
        <v>28205.309124241976</v>
      </c>
      <c r="K57" s="10">
        <v>0</v>
      </c>
      <c r="L57" s="7">
        <v>0</v>
      </c>
      <c r="M57" s="7"/>
      <c r="N57" s="7">
        <v>0</v>
      </c>
      <c r="O57" s="7">
        <v>0</v>
      </c>
      <c r="P57" s="7"/>
      <c r="Q57" s="7">
        <v>50000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10420188.498</v>
      </c>
      <c r="E60" s="7">
        <f>SUM(E6:E58)</f>
        <v>0</v>
      </c>
      <c r="F60" s="17">
        <f>SUM(F6:F58)</f>
        <v>10420188.498</v>
      </c>
      <c r="K60" s="10">
        <f>SUM(K6:K58)</f>
        <v>122316</v>
      </c>
      <c r="L60" s="7">
        <f>SUM(L6:L58)</f>
        <v>718.197</v>
      </c>
      <c r="M60" s="7"/>
      <c r="N60" s="7">
        <f>SUM(N6:N58)</f>
        <v>5000</v>
      </c>
      <c r="O60" s="7">
        <f>SUM(O6:O58)</f>
        <v>0</v>
      </c>
      <c r="P60" s="7"/>
      <c r="Q60" s="7">
        <f>SUM(Q6:Q58)</f>
        <v>7662381</v>
      </c>
      <c r="R60" s="7">
        <f>SUM(R6:R58)</f>
        <v>851691.65300000005</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Italic"Universe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53</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575.39750930558057</v>
      </c>
      <c r="E6" s="7">
        <v>0</v>
      </c>
      <c r="F6" s="17">
        <f t="shared" ref="F6:F37" si="0">SUM(B6:E6)</f>
        <v>575.39750930558057</v>
      </c>
      <c r="K6" s="10"/>
      <c r="L6" s="7"/>
      <c r="M6" s="7"/>
      <c r="N6" s="7"/>
      <c r="O6" s="7"/>
      <c r="P6" s="7"/>
      <c r="Q6" s="7"/>
      <c r="R6" s="7"/>
      <c r="S6" s="7"/>
      <c r="T6" s="7"/>
      <c r="U6" s="17"/>
    </row>
    <row r="7" spans="1:21">
      <c r="A7" t="s">
        <v>1</v>
      </c>
      <c r="B7" s="10">
        <v>0</v>
      </c>
      <c r="C7" s="7">
        <v>0</v>
      </c>
      <c r="D7" s="7">
        <v>0</v>
      </c>
      <c r="E7" s="7">
        <v>0</v>
      </c>
      <c r="F7" s="17">
        <f t="shared" si="0"/>
        <v>0</v>
      </c>
      <c r="H7" s="22"/>
      <c r="I7" s="24"/>
      <c r="K7" s="10"/>
      <c r="L7" s="7"/>
      <c r="M7" s="7"/>
      <c r="N7" s="7"/>
      <c r="O7" s="7"/>
      <c r="P7" s="7"/>
      <c r="Q7" s="7"/>
      <c r="R7" s="7"/>
      <c r="S7" s="7"/>
      <c r="T7" s="7"/>
      <c r="U7" s="17"/>
    </row>
    <row r="8" spans="1:21">
      <c r="A8" t="s">
        <v>2</v>
      </c>
      <c r="B8" s="10">
        <v>0</v>
      </c>
      <c r="C8" s="7">
        <v>0</v>
      </c>
      <c r="D8" s="7">
        <v>0</v>
      </c>
      <c r="E8" s="7">
        <v>0</v>
      </c>
      <c r="F8" s="17">
        <f t="shared" si="0"/>
        <v>0</v>
      </c>
      <c r="H8" s="4" t="s">
        <v>64</v>
      </c>
      <c r="I8" s="13"/>
      <c r="K8" s="10"/>
      <c r="L8" s="7"/>
      <c r="M8" s="7"/>
      <c r="N8" s="7"/>
      <c r="O8" s="7"/>
      <c r="P8" s="7"/>
      <c r="Q8" s="7"/>
      <c r="R8" s="7"/>
      <c r="S8" s="7"/>
      <c r="T8" s="7"/>
      <c r="U8" s="17"/>
    </row>
    <row r="9" spans="1:21">
      <c r="A9" t="s">
        <v>3</v>
      </c>
      <c r="B9" s="10">
        <v>0</v>
      </c>
      <c r="C9" s="7">
        <v>0</v>
      </c>
      <c r="D9" s="7">
        <v>15.107811494547491</v>
      </c>
      <c r="E9" s="7">
        <v>0</v>
      </c>
      <c r="F9" s="17">
        <f t="shared" si="0"/>
        <v>15.107811494547491</v>
      </c>
      <c r="H9" s="4"/>
      <c r="I9" s="13"/>
      <c r="K9" s="10"/>
      <c r="L9" s="7"/>
      <c r="M9" s="7"/>
      <c r="N9" s="7"/>
      <c r="O9" s="7"/>
      <c r="P9" s="7"/>
      <c r="Q9" s="7"/>
      <c r="R9" s="7"/>
      <c r="S9" s="7"/>
      <c r="T9" s="7"/>
      <c r="U9" s="17"/>
    </row>
    <row r="10" spans="1:21">
      <c r="A10" t="s">
        <v>4</v>
      </c>
      <c r="B10" s="10">
        <v>0</v>
      </c>
      <c r="C10" s="7">
        <v>0</v>
      </c>
      <c r="D10" s="7">
        <v>95.349300359627705</v>
      </c>
      <c r="E10" s="7">
        <v>0</v>
      </c>
      <c r="F10" s="17">
        <f t="shared" si="0"/>
        <v>95.349300359627705</v>
      </c>
      <c r="H10" s="4" t="s">
        <v>65</v>
      </c>
      <c r="I10" s="14">
        <v>0</v>
      </c>
      <c r="K10" s="10">
        <v>0</v>
      </c>
      <c r="L10" s="7">
        <v>0</v>
      </c>
      <c r="M10" s="7"/>
      <c r="N10" s="7">
        <v>0</v>
      </c>
      <c r="O10" s="7">
        <v>0</v>
      </c>
      <c r="P10" s="7"/>
      <c r="Q10" s="7">
        <v>150000</v>
      </c>
      <c r="R10" s="7">
        <v>0</v>
      </c>
      <c r="S10" s="7"/>
      <c r="T10" s="7">
        <v>0</v>
      </c>
      <c r="U10" s="17">
        <v>0</v>
      </c>
    </row>
    <row r="11" spans="1:21">
      <c r="A11" t="s">
        <v>5</v>
      </c>
      <c r="B11" s="10">
        <v>0</v>
      </c>
      <c r="C11" s="7">
        <v>0</v>
      </c>
      <c r="D11" s="7">
        <v>0</v>
      </c>
      <c r="E11" s="7">
        <v>0</v>
      </c>
      <c r="F11" s="17">
        <f t="shared" si="0"/>
        <v>0</v>
      </c>
      <c r="H11" s="4"/>
      <c r="I11" s="14"/>
      <c r="K11" s="10"/>
      <c r="L11" s="7"/>
      <c r="M11" s="7"/>
      <c r="N11" s="7"/>
      <c r="O11" s="7"/>
      <c r="P11" s="7"/>
      <c r="Q11" s="7"/>
      <c r="R11" s="7"/>
      <c r="S11" s="7"/>
      <c r="T11" s="7"/>
      <c r="U11" s="17"/>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0</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277448.44747209141</v>
      </c>
      <c r="K15" s="10"/>
      <c r="L15" s="7"/>
      <c r="M15" s="7"/>
      <c r="N15" s="7"/>
      <c r="O15" s="7"/>
      <c r="P15" s="7"/>
      <c r="Q15" s="7"/>
      <c r="R15" s="7"/>
      <c r="S15" s="7"/>
      <c r="T15" s="7"/>
      <c r="U15" s="17"/>
    </row>
    <row r="16" spans="1:21">
      <c r="A16" t="s">
        <v>10</v>
      </c>
      <c r="B16" s="10">
        <v>0</v>
      </c>
      <c r="C16" s="7">
        <v>0</v>
      </c>
      <c r="D16" s="7">
        <v>2620.2548028523488</v>
      </c>
      <c r="E16" s="7">
        <v>0</v>
      </c>
      <c r="F16" s="17">
        <f t="shared" si="0"/>
        <v>2620.2548028523488</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0</v>
      </c>
      <c r="E20" s="7">
        <v>0</v>
      </c>
      <c r="F20" s="17">
        <f t="shared" si="0"/>
        <v>0</v>
      </c>
      <c r="H20" s="4" t="s">
        <v>73</v>
      </c>
      <c r="I20" s="14">
        <v>0</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0</v>
      </c>
      <c r="E24" s="7">
        <v>0</v>
      </c>
      <c r="F24" s="17">
        <f t="shared" si="0"/>
        <v>0</v>
      </c>
      <c r="H24" s="4" t="s">
        <v>77</v>
      </c>
      <c r="I24" s="14">
        <v>252214</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25234.447472091415</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25234.447472091433</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0</v>
      </c>
      <c r="E31" s="7">
        <v>0</v>
      </c>
      <c r="F31" s="17">
        <f t="shared" si="0"/>
        <v>0</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0</v>
      </c>
      <c r="E34" s="7">
        <v>0</v>
      </c>
      <c r="F34" s="17">
        <f t="shared" si="0"/>
        <v>0</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0</v>
      </c>
      <c r="E37" s="7">
        <v>0</v>
      </c>
      <c r="F37" s="17">
        <f t="shared" si="0"/>
        <v>0</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0</v>
      </c>
      <c r="C42" s="7">
        <v>0</v>
      </c>
      <c r="D42" s="7">
        <v>744.08472903940219</v>
      </c>
      <c r="E42" s="7">
        <v>0</v>
      </c>
      <c r="F42" s="17">
        <f t="shared" si="1"/>
        <v>744.08472903940219</v>
      </c>
      <c r="K42" s="10"/>
      <c r="L42" s="7"/>
      <c r="M42" s="7"/>
      <c r="N42" s="7"/>
      <c r="O42" s="7"/>
      <c r="P42" s="7"/>
      <c r="Q42" s="7"/>
      <c r="R42" s="7"/>
      <c r="S42" s="7"/>
      <c r="T42" s="7"/>
      <c r="U42" s="17"/>
    </row>
    <row r="43" spans="1:21">
      <c r="A43" t="s">
        <v>37</v>
      </c>
      <c r="B43" s="10">
        <v>0</v>
      </c>
      <c r="C43" s="7">
        <v>0</v>
      </c>
      <c r="D43" s="7">
        <v>0</v>
      </c>
      <c r="E43" s="7">
        <v>0</v>
      </c>
      <c r="F43" s="17">
        <f t="shared" si="1"/>
        <v>0</v>
      </c>
      <c r="K43" s="10"/>
      <c r="L43" s="7"/>
      <c r="M43" s="7"/>
      <c r="N43" s="7"/>
      <c r="O43" s="7"/>
      <c r="P43" s="7"/>
      <c r="Q43" s="7"/>
      <c r="R43" s="7"/>
      <c r="S43" s="7"/>
      <c r="T43" s="7"/>
      <c r="U43" s="17"/>
    </row>
    <row r="44" spans="1:21">
      <c r="A44" t="s">
        <v>38</v>
      </c>
      <c r="B44" s="10">
        <v>0</v>
      </c>
      <c r="C44" s="7">
        <v>0</v>
      </c>
      <c r="D44" s="7">
        <v>1783.522170210621</v>
      </c>
      <c r="E44" s="7">
        <v>0</v>
      </c>
      <c r="F44" s="17">
        <f t="shared" si="1"/>
        <v>1783.522170210621</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649.73594599729495</v>
      </c>
      <c r="E47" s="7">
        <v>0</v>
      </c>
      <c r="F47" s="17">
        <f t="shared" si="1"/>
        <v>649.73594599729495</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211.10915399665691</v>
      </c>
      <c r="E49" s="7">
        <v>0</v>
      </c>
      <c r="F49" s="17">
        <f t="shared" si="1"/>
        <v>211.10915399665691</v>
      </c>
      <c r="K49" s="10"/>
      <c r="L49" s="7"/>
      <c r="M49" s="7"/>
      <c r="N49" s="7"/>
      <c r="O49" s="7"/>
      <c r="P49" s="7"/>
      <c r="Q49" s="7"/>
      <c r="R49" s="7"/>
      <c r="S49" s="7"/>
      <c r="T49" s="7"/>
      <c r="U49" s="17"/>
    </row>
    <row r="50" spans="1:21">
      <c r="A50" t="s">
        <v>44</v>
      </c>
      <c r="B50" s="10">
        <v>0</v>
      </c>
      <c r="C50" s="7">
        <v>0</v>
      </c>
      <c r="D50" s="7">
        <v>18539.886048835353</v>
      </c>
      <c r="E50" s="7">
        <v>0</v>
      </c>
      <c r="F50" s="17">
        <f t="shared" si="1"/>
        <v>18539.886048835353</v>
      </c>
      <c r="K50" s="10">
        <v>0</v>
      </c>
      <c r="L50" s="7">
        <v>170000</v>
      </c>
      <c r="M50" s="7"/>
      <c r="N50" s="7">
        <v>0</v>
      </c>
      <c r="O50" s="7">
        <v>0</v>
      </c>
      <c r="P50" s="7"/>
      <c r="Q50" s="7">
        <v>250000</v>
      </c>
      <c r="R50" s="7">
        <v>0</v>
      </c>
      <c r="S50" s="7"/>
      <c r="T50" s="7">
        <v>0</v>
      </c>
      <c r="U50" s="17">
        <v>0</v>
      </c>
    </row>
    <row r="51" spans="1:21">
      <c r="A51" t="s">
        <v>45</v>
      </c>
      <c r="B51" s="10">
        <v>0</v>
      </c>
      <c r="C51" s="7">
        <v>0</v>
      </c>
      <c r="D51" s="7">
        <v>0</v>
      </c>
      <c r="E51" s="7">
        <v>0</v>
      </c>
      <c r="F51" s="17">
        <f t="shared" si="1"/>
        <v>0</v>
      </c>
      <c r="K51" s="10"/>
      <c r="L51" s="7"/>
      <c r="M51" s="7"/>
      <c r="N51" s="7"/>
      <c r="O51" s="7"/>
      <c r="P51" s="7"/>
      <c r="Q51" s="7"/>
      <c r="R51" s="7"/>
      <c r="S51" s="7"/>
      <c r="T51" s="7"/>
      <c r="U51" s="17"/>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0</v>
      </c>
      <c r="E57" s="7">
        <v>0</v>
      </c>
      <c r="F57" s="17">
        <f t="shared" si="1"/>
        <v>0</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0</v>
      </c>
      <c r="C60" s="7">
        <f>SUM(C6:C58)</f>
        <v>0</v>
      </c>
      <c r="D60" s="7">
        <f>SUM(D6:D58)</f>
        <v>25234.447472091433</v>
      </c>
      <c r="E60" s="7">
        <f>SUM(E6:E58)</f>
        <v>0</v>
      </c>
      <c r="F60" s="17">
        <f>SUM(F6:F58)</f>
        <v>25234.447472091433</v>
      </c>
      <c r="K60" s="10">
        <f>SUM(K6:K58)</f>
        <v>0</v>
      </c>
      <c r="L60" s="7">
        <f>SUM(L6:L58)</f>
        <v>170000</v>
      </c>
      <c r="M60" s="7"/>
      <c r="N60" s="7">
        <f>SUM(N6:N58)</f>
        <v>0</v>
      </c>
      <c r="O60" s="7">
        <f>SUM(O6:O58)</f>
        <v>0</v>
      </c>
      <c r="P60" s="7"/>
      <c r="Q60" s="7">
        <f>SUM(Q6:Q58)</f>
        <v>400000</v>
      </c>
      <c r="R60" s="7">
        <f>SUM(R6:R58)</f>
        <v>0</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Italic"Villanova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149</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4380.1117957797687</v>
      </c>
      <c r="C6" s="7">
        <v>0</v>
      </c>
      <c r="D6" s="7">
        <v>238.14086254206063</v>
      </c>
      <c r="E6" s="7">
        <v>0</v>
      </c>
      <c r="F6" s="17">
        <f t="shared" ref="F6:F37" si="0">SUM(B6:E6)</f>
        <v>4618.2526583218296</v>
      </c>
      <c r="K6" s="10"/>
      <c r="L6" s="7"/>
      <c r="M6" s="7"/>
      <c r="N6" s="7"/>
      <c r="O6" s="7"/>
      <c r="P6" s="7"/>
      <c r="Q6" s="7"/>
      <c r="R6" s="7"/>
      <c r="S6" s="7"/>
      <c r="T6" s="7"/>
      <c r="U6" s="17"/>
    </row>
    <row r="7" spans="1:21">
      <c r="A7" t="s">
        <v>1</v>
      </c>
      <c r="B7" s="10">
        <v>2339.7194597171656</v>
      </c>
      <c r="C7" s="7">
        <v>0</v>
      </c>
      <c r="D7" s="7">
        <v>5.0190621230972283</v>
      </c>
      <c r="E7" s="7">
        <v>0</v>
      </c>
      <c r="F7" s="17">
        <f t="shared" si="0"/>
        <v>2344.7385218402628</v>
      </c>
      <c r="H7" s="22"/>
      <c r="I7" s="24"/>
      <c r="K7" s="10">
        <v>50000</v>
      </c>
      <c r="L7" s="7">
        <v>0</v>
      </c>
      <c r="M7" s="7"/>
      <c r="N7" s="7">
        <v>0</v>
      </c>
      <c r="O7" s="7">
        <v>0</v>
      </c>
      <c r="P7" s="7"/>
      <c r="Q7" s="7">
        <v>0</v>
      </c>
      <c r="R7" s="7">
        <v>0</v>
      </c>
      <c r="S7" s="7"/>
      <c r="T7" s="7">
        <v>0</v>
      </c>
      <c r="U7" s="17">
        <v>0</v>
      </c>
    </row>
    <row r="8" spans="1:21">
      <c r="A8" t="s">
        <v>2</v>
      </c>
      <c r="B8" s="10">
        <v>536408.31146556768</v>
      </c>
      <c r="C8" s="7">
        <v>268269.47463973018</v>
      </c>
      <c r="D8" s="7">
        <v>15830.957427177542</v>
      </c>
      <c r="E8" s="7">
        <v>0</v>
      </c>
      <c r="F8" s="17">
        <f t="shared" si="0"/>
        <v>820508.74353247543</v>
      </c>
      <c r="H8" s="4" t="s">
        <v>64</v>
      </c>
      <c r="I8" s="13"/>
      <c r="K8" s="10">
        <v>0</v>
      </c>
      <c r="L8" s="7">
        <v>0</v>
      </c>
      <c r="M8" s="7"/>
      <c r="N8" s="7">
        <v>0</v>
      </c>
      <c r="O8" s="7">
        <v>0</v>
      </c>
      <c r="P8" s="7"/>
      <c r="Q8" s="7">
        <v>0</v>
      </c>
      <c r="R8" s="7">
        <v>0</v>
      </c>
      <c r="S8" s="7"/>
      <c r="T8" s="7">
        <v>0</v>
      </c>
      <c r="U8" s="17">
        <v>0</v>
      </c>
    </row>
    <row r="9" spans="1:21">
      <c r="A9" t="s">
        <v>3</v>
      </c>
      <c r="B9" s="10">
        <v>657945.2170150585</v>
      </c>
      <c r="C9" s="7">
        <v>6691.9458606014268</v>
      </c>
      <c r="D9" s="7">
        <v>4013.5873638554003</v>
      </c>
      <c r="E9" s="7">
        <v>0</v>
      </c>
      <c r="F9" s="17">
        <f t="shared" si="0"/>
        <v>668650.75023951533</v>
      </c>
      <c r="H9" s="4"/>
      <c r="I9" s="13"/>
      <c r="K9" s="10">
        <v>2000093</v>
      </c>
      <c r="L9" s="7">
        <v>0</v>
      </c>
      <c r="M9" s="7"/>
      <c r="N9" s="7">
        <v>0</v>
      </c>
      <c r="O9" s="7">
        <v>0</v>
      </c>
      <c r="P9" s="7"/>
      <c r="Q9" s="7">
        <v>0</v>
      </c>
      <c r="R9" s="7">
        <v>0</v>
      </c>
      <c r="S9" s="7"/>
      <c r="T9" s="7">
        <v>0</v>
      </c>
      <c r="U9" s="17">
        <v>0</v>
      </c>
    </row>
    <row r="10" spans="1:21">
      <c r="A10" t="s">
        <v>4</v>
      </c>
      <c r="B10" s="10">
        <v>0</v>
      </c>
      <c r="C10" s="7">
        <v>0</v>
      </c>
      <c r="D10" s="7">
        <v>0</v>
      </c>
      <c r="E10" s="7">
        <v>0</v>
      </c>
      <c r="F10" s="17">
        <f t="shared" si="0"/>
        <v>0</v>
      </c>
      <c r="H10" s="4" t="s">
        <v>65</v>
      </c>
      <c r="I10" s="14">
        <v>21461671.379999999</v>
      </c>
      <c r="K10" s="10"/>
      <c r="L10" s="7"/>
      <c r="M10" s="7"/>
      <c r="N10" s="7"/>
      <c r="O10" s="7"/>
      <c r="P10" s="7"/>
      <c r="Q10" s="7"/>
      <c r="R10" s="7"/>
      <c r="S10" s="7"/>
      <c r="T10" s="7"/>
      <c r="U10" s="17"/>
    </row>
    <row r="11" spans="1:21">
      <c r="A11" t="s">
        <v>5</v>
      </c>
      <c r="B11" s="10">
        <v>17117</v>
      </c>
      <c r="C11" s="7">
        <v>0</v>
      </c>
      <c r="D11" s="7">
        <v>0</v>
      </c>
      <c r="E11" s="7">
        <v>0</v>
      </c>
      <c r="F11" s="17">
        <f t="shared" si="0"/>
        <v>17117</v>
      </c>
      <c r="H11" s="4"/>
      <c r="I11" s="14"/>
      <c r="K11" s="10">
        <v>43585</v>
      </c>
      <c r="L11" s="7">
        <v>0</v>
      </c>
      <c r="M11" s="7"/>
      <c r="N11" s="7">
        <v>0</v>
      </c>
      <c r="O11" s="7">
        <v>0</v>
      </c>
      <c r="P11" s="7"/>
      <c r="Q11" s="7">
        <v>0</v>
      </c>
      <c r="R11" s="7">
        <v>0</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137228.00000000003</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955571</v>
      </c>
      <c r="K14" s="10"/>
      <c r="L14" s="7"/>
      <c r="M14" s="7"/>
      <c r="N14" s="7"/>
      <c r="O14" s="7"/>
      <c r="P14" s="7"/>
      <c r="Q14" s="7"/>
      <c r="R14" s="7"/>
      <c r="S14" s="7"/>
      <c r="T14" s="7"/>
      <c r="U14" s="17"/>
    </row>
    <row r="15" spans="1:21">
      <c r="A15" t="s">
        <v>9</v>
      </c>
      <c r="B15" s="10">
        <v>312168.85685810179</v>
      </c>
      <c r="C15" s="7">
        <v>0</v>
      </c>
      <c r="D15" s="7">
        <v>31775.590832716651</v>
      </c>
      <c r="E15" s="7">
        <v>0</v>
      </c>
      <c r="F15" s="17">
        <f t="shared" si="0"/>
        <v>343944.44769081846</v>
      </c>
      <c r="H15" s="4" t="s">
        <v>69</v>
      </c>
      <c r="I15" s="14">
        <v>1495725.9299999992</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42054.787494202144</v>
      </c>
      <c r="C17" s="7">
        <v>2317.0418536716625</v>
      </c>
      <c r="D17" s="7">
        <v>196.71494197647814</v>
      </c>
      <c r="E17" s="7">
        <v>0</v>
      </c>
      <c r="F17" s="17">
        <f t="shared" si="0"/>
        <v>44568.544289850281</v>
      </c>
      <c r="H17" s="4"/>
      <c r="I17" s="14"/>
      <c r="K17" s="10">
        <v>3864</v>
      </c>
      <c r="L17" s="7">
        <v>0</v>
      </c>
      <c r="M17" s="7"/>
      <c r="N17" s="7">
        <v>0</v>
      </c>
      <c r="O17" s="7">
        <v>0</v>
      </c>
      <c r="P17" s="7"/>
      <c r="Q17" s="7">
        <v>0</v>
      </c>
      <c r="R17" s="7">
        <v>0</v>
      </c>
      <c r="S17" s="7"/>
      <c r="T17" s="7">
        <v>0</v>
      </c>
      <c r="U17" s="17">
        <v>0</v>
      </c>
    </row>
    <row r="18" spans="1:21">
      <c r="A18" t="s">
        <v>12</v>
      </c>
      <c r="B18" s="10">
        <v>0</v>
      </c>
      <c r="C18" s="7">
        <v>0</v>
      </c>
      <c r="D18" s="7">
        <v>0</v>
      </c>
      <c r="E18" s="7">
        <v>0</v>
      </c>
      <c r="F18" s="17">
        <f t="shared" si="0"/>
        <v>0</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7203.7846895697221</v>
      </c>
      <c r="C20" s="7">
        <v>0</v>
      </c>
      <c r="D20" s="7">
        <v>1972.3350809378899</v>
      </c>
      <c r="E20" s="7">
        <v>0</v>
      </c>
      <c r="F20" s="17">
        <f t="shared" si="0"/>
        <v>9176.119770507612</v>
      </c>
      <c r="H20" s="4" t="s">
        <v>73</v>
      </c>
      <c r="I20" s="14">
        <v>-375118</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42714.018368400197</v>
      </c>
      <c r="C22" s="7">
        <v>3296.6750171394415</v>
      </c>
      <c r="D22" s="7">
        <v>17233.246592332434</v>
      </c>
      <c r="E22" s="7">
        <v>0</v>
      </c>
      <c r="F22" s="17">
        <f t="shared" si="0"/>
        <v>63243.939977872069</v>
      </c>
      <c r="H22" s="4" t="s">
        <v>75</v>
      </c>
      <c r="I22" s="14">
        <v>5635144</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-17991.653236056627</v>
      </c>
      <c r="C24" s="7">
        <v>0</v>
      </c>
      <c r="D24" s="7">
        <v>0</v>
      </c>
      <c r="E24" s="7">
        <v>0</v>
      </c>
      <c r="F24" s="17">
        <f t="shared" si="0"/>
        <v>-17991.653236056627</v>
      </c>
      <c r="H24" s="4" t="s">
        <v>77</v>
      </c>
      <c r="I24" s="14">
        <v>10390579.999999993</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8399590.3100000061</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8399590.3100000005</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8070.9665440563149</v>
      </c>
      <c r="C30" s="7">
        <v>0</v>
      </c>
      <c r="D30" s="7">
        <v>1043.4218893292991</v>
      </c>
      <c r="E30" s="7">
        <v>0</v>
      </c>
      <c r="F30" s="17">
        <f t="shared" si="0"/>
        <v>9114.3884333856149</v>
      </c>
      <c r="K30" s="10">
        <v>1085</v>
      </c>
      <c r="L30" s="7">
        <v>481</v>
      </c>
      <c r="M30" s="7"/>
      <c r="N30" s="7">
        <v>0</v>
      </c>
      <c r="O30" s="7">
        <v>0</v>
      </c>
      <c r="P30" s="7"/>
      <c r="Q30" s="7">
        <v>3915</v>
      </c>
      <c r="R30" s="7">
        <v>1831</v>
      </c>
      <c r="S30" s="7"/>
      <c r="T30" s="7">
        <v>0</v>
      </c>
      <c r="U30" s="17">
        <v>0</v>
      </c>
    </row>
    <row r="31" spans="1:21">
      <c r="A31" t="s">
        <v>25</v>
      </c>
      <c r="B31" s="10">
        <v>200917.11164873984</v>
      </c>
      <c r="C31" s="7">
        <v>11676.277449167033</v>
      </c>
      <c r="D31" s="7">
        <v>26490.554462797707</v>
      </c>
      <c r="E31" s="7">
        <v>0</v>
      </c>
      <c r="F31" s="17">
        <f t="shared" si="0"/>
        <v>239083.94356070459</v>
      </c>
      <c r="K31" s="10"/>
      <c r="L31" s="7"/>
      <c r="M31" s="7"/>
      <c r="N31" s="7"/>
      <c r="O31" s="7"/>
      <c r="P31" s="7"/>
      <c r="Q31" s="7"/>
      <c r="R31" s="7"/>
      <c r="S31" s="7"/>
      <c r="T31" s="7"/>
      <c r="U31" s="17"/>
    </row>
    <row r="32" spans="1:21">
      <c r="A32" t="s">
        <v>26</v>
      </c>
      <c r="B32" s="10">
        <v>0</v>
      </c>
      <c r="C32" s="7">
        <v>0</v>
      </c>
      <c r="D32" s="7">
        <v>0</v>
      </c>
      <c r="E32" s="7">
        <v>0</v>
      </c>
      <c r="F32" s="17">
        <f t="shared" si="0"/>
        <v>0</v>
      </c>
      <c r="K32" s="10"/>
      <c r="L32" s="7"/>
      <c r="M32" s="7"/>
      <c r="N32" s="7"/>
      <c r="O32" s="7"/>
      <c r="P32" s="7"/>
      <c r="Q32" s="7"/>
      <c r="R32" s="7"/>
      <c r="S32" s="7"/>
      <c r="T32" s="7"/>
      <c r="U32" s="17"/>
    </row>
    <row r="33" spans="1:21">
      <c r="A33" t="s">
        <v>27</v>
      </c>
      <c r="B33" s="10">
        <v>13927.619457149376</v>
      </c>
      <c r="C33" s="7">
        <v>82.559604520603386</v>
      </c>
      <c r="D33" s="7">
        <v>3696.599655785858</v>
      </c>
      <c r="E33" s="7">
        <v>0</v>
      </c>
      <c r="F33" s="17">
        <f t="shared" si="0"/>
        <v>17706.77871745584</v>
      </c>
      <c r="K33" s="10"/>
      <c r="L33" s="7"/>
      <c r="M33" s="7"/>
      <c r="N33" s="7"/>
      <c r="O33" s="7"/>
      <c r="P33" s="7"/>
      <c r="Q33" s="7"/>
      <c r="R33" s="7"/>
      <c r="S33" s="7"/>
      <c r="T33" s="7"/>
      <c r="U33" s="17"/>
    </row>
    <row r="34" spans="1:21">
      <c r="A34" t="s">
        <v>28</v>
      </c>
      <c r="B34" s="10">
        <v>13092.428283410001</v>
      </c>
      <c r="C34" s="7">
        <v>6052.1083200330831</v>
      </c>
      <c r="D34" s="7">
        <v>683.99256529165541</v>
      </c>
      <c r="E34" s="7">
        <v>0</v>
      </c>
      <c r="F34" s="17">
        <f t="shared" si="0"/>
        <v>19828.529168734742</v>
      </c>
      <c r="K34" s="10"/>
      <c r="L34" s="7"/>
      <c r="M34" s="7"/>
      <c r="N34" s="7"/>
      <c r="O34" s="7"/>
      <c r="P34" s="7"/>
      <c r="Q34" s="7"/>
      <c r="R34" s="7"/>
      <c r="S34" s="7"/>
      <c r="T34" s="7"/>
      <c r="U34" s="17"/>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106733.36849477458</v>
      </c>
      <c r="C37" s="7">
        <v>4099.347263629842</v>
      </c>
      <c r="D37" s="7">
        <v>28057.783405097205</v>
      </c>
      <c r="E37" s="7">
        <v>0</v>
      </c>
      <c r="F37" s="17">
        <f t="shared" si="0"/>
        <v>138890.49916350163</v>
      </c>
      <c r="K37" s="10">
        <v>59780</v>
      </c>
      <c r="L37" s="7">
        <v>0</v>
      </c>
      <c r="M37" s="7"/>
      <c r="N37" s="7">
        <v>0</v>
      </c>
      <c r="O37" s="7">
        <v>0</v>
      </c>
      <c r="P37" s="7"/>
      <c r="Q37" s="7">
        <v>17765</v>
      </c>
      <c r="R37" s="7">
        <v>0</v>
      </c>
      <c r="S37" s="7"/>
      <c r="T37" s="7">
        <v>0</v>
      </c>
      <c r="U37" s="17">
        <v>0</v>
      </c>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4113242.3520089919</v>
      </c>
      <c r="C39" s="7">
        <v>38327.736303571321</v>
      </c>
      <c r="D39" s="7">
        <v>21335.963446681795</v>
      </c>
      <c r="E39" s="7">
        <v>0</v>
      </c>
      <c r="F39" s="17">
        <f t="shared" si="1"/>
        <v>4172906.0517592449</v>
      </c>
      <c r="K39" s="10">
        <v>3600000</v>
      </c>
      <c r="L39" s="7">
        <v>123750</v>
      </c>
      <c r="M39" s="7"/>
      <c r="N39" s="7">
        <v>0</v>
      </c>
      <c r="O39" s="7">
        <v>0</v>
      </c>
      <c r="P39" s="7"/>
      <c r="Q39" s="7">
        <v>0</v>
      </c>
      <c r="R39" s="7">
        <v>0</v>
      </c>
      <c r="S39" s="7"/>
      <c r="T39" s="7">
        <v>0</v>
      </c>
      <c r="U39" s="17">
        <v>0</v>
      </c>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25394.975472376042</v>
      </c>
      <c r="C41" s="7">
        <v>0</v>
      </c>
      <c r="D41" s="7">
        <v>9651.7073720843255</v>
      </c>
      <c r="E41" s="7">
        <v>0</v>
      </c>
      <c r="F41" s="17">
        <f t="shared" si="1"/>
        <v>35046.682844460367</v>
      </c>
      <c r="K41" s="10"/>
      <c r="L41" s="7"/>
      <c r="M41" s="7"/>
      <c r="N41" s="7"/>
      <c r="O41" s="7"/>
      <c r="P41" s="7"/>
      <c r="Q41" s="7"/>
      <c r="R41" s="7"/>
      <c r="S41" s="7"/>
      <c r="T41" s="7"/>
      <c r="U41" s="17"/>
    </row>
    <row r="42" spans="1:21">
      <c r="A42" t="s">
        <v>36</v>
      </c>
      <c r="B42" s="10">
        <v>957037.13259634562</v>
      </c>
      <c r="C42" s="7">
        <v>29360.608761822557</v>
      </c>
      <c r="D42" s="7">
        <v>44275.09051740737</v>
      </c>
      <c r="E42" s="7">
        <v>0</v>
      </c>
      <c r="F42" s="17">
        <f t="shared" si="1"/>
        <v>1030672.8318755756</v>
      </c>
      <c r="K42" s="10">
        <v>0</v>
      </c>
      <c r="L42" s="7">
        <v>5272500</v>
      </c>
      <c r="M42" s="7"/>
      <c r="N42" s="7">
        <v>0</v>
      </c>
      <c r="O42" s="7">
        <v>111000</v>
      </c>
      <c r="P42" s="7"/>
      <c r="Q42" s="7">
        <v>0</v>
      </c>
      <c r="R42" s="7">
        <v>166500</v>
      </c>
      <c r="S42" s="7"/>
      <c r="T42" s="7">
        <v>0</v>
      </c>
      <c r="U42" s="17">
        <v>0</v>
      </c>
    </row>
    <row r="43" spans="1:21">
      <c r="A43" t="s">
        <v>37</v>
      </c>
      <c r="B43" s="10">
        <v>34466.648095462588</v>
      </c>
      <c r="C43" s="7">
        <v>0</v>
      </c>
      <c r="D43" s="7">
        <v>2339.9515624296819</v>
      </c>
      <c r="E43" s="7">
        <v>0</v>
      </c>
      <c r="F43" s="17">
        <f t="shared" si="1"/>
        <v>36806.599657892271</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251847.13753546568</v>
      </c>
      <c r="C47" s="7">
        <v>0</v>
      </c>
      <c r="D47" s="7">
        <v>18969.57248011485</v>
      </c>
      <c r="E47" s="7">
        <v>0</v>
      </c>
      <c r="F47" s="17">
        <f t="shared" si="1"/>
        <v>270816.71001558052</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0</v>
      </c>
      <c r="E49" s="7">
        <v>0</v>
      </c>
      <c r="F49" s="17">
        <f t="shared" si="1"/>
        <v>0</v>
      </c>
      <c r="K49" s="10"/>
      <c r="L49" s="7"/>
      <c r="M49" s="7"/>
      <c r="N49" s="7"/>
      <c r="O49" s="7"/>
      <c r="P49" s="7"/>
      <c r="Q49" s="7"/>
      <c r="R49" s="7"/>
      <c r="S49" s="7"/>
      <c r="T49" s="7"/>
      <c r="U49" s="17"/>
    </row>
    <row r="50" spans="1:21">
      <c r="A50" t="s">
        <v>44</v>
      </c>
      <c r="B50" s="10">
        <v>175288.11068109493</v>
      </c>
      <c r="C50" s="7">
        <v>52420.286557029031</v>
      </c>
      <c r="D50" s="7">
        <v>185919.10197021515</v>
      </c>
      <c r="E50" s="7">
        <v>0</v>
      </c>
      <c r="F50" s="17">
        <f t="shared" si="1"/>
        <v>413627.49920833914</v>
      </c>
      <c r="K50" s="10">
        <v>195526</v>
      </c>
      <c r="L50" s="7">
        <v>77092.183000000005</v>
      </c>
      <c r="M50" s="7"/>
      <c r="N50" s="7">
        <v>0</v>
      </c>
      <c r="O50" s="7">
        <v>0</v>
      </c>
      <c r="P50" s="7"/>
      <c r="Q50" s="7">
        <v>1247265</v>
      </c>
      <c r="R50" s="7">
        <v>491853.81700000004</v>
      </c>
      <c r="S50" s="7"/>
      <c r="T50" s="7">
        <v>0</v>
      </c>
      <c r="U50" s="17">
        <v>0</v>
      </c>
    </row>
    <row r="51" spans="1:21">
      <c r="A51" t="s">
        <v>45</v>
      </c>
      <c r="B51" s="10">
        <v>28500.86306090351</v>
      </c>
      <c r="C51" s="7">
        <v>978.41257445656106</v>
      </c>
      <c r="D51" s="7">
        <v>921.43778187306634</v>
      </c>
      <c r="E51" s="7">
        <v>0</v>
      </c>
      <c r="F51" s="17">
        <f t="shared" si="1"/>
        <v>30400.713417233135</v>
      </c>
      <c r="K51" s="10">
        <v>105000</v>
      </c>
      <c r="L51" s="7">
        <v>0</v>
      </c>
      <c r="M51" s="7"/>
      <c r="N51" s="7">
        <v>0</v>
      </c>
      <c r="O51" s="7">
        <v>0</v>
      </c>
      <c r="P51" s="7"/>
      <c r="Q51" s="7">
        <v>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21240.78721558048</v>
      </c>
      <c r="C54" s="7">
        <v>3899.8749730573654</v>
      </c>
      <c r="D54" s="7">
        <v>4453.4028841592117</v>
      </c>
      <c r="E54" s="7">
        <v>0</v>
      </c>
      <c r="F54" s="17">
        <f t="shared" si="1"/>
        <v>29594.065072797057</v>
      </c>
      <c r="K54" s="10">
        <v>50139</v>
      </c>
      <c r="L54" s="7">
        <v>0</v>
      </c>
      <c r="M54" s="7"/>
      <c r="N54" s="7">
        <v>10343</v>
      </c>
      <c r="O54" s="7">
        <v>0</v>
      </c>
      <c r="P54" s="7"/>
      <c r="Q54" s="7">
        <v>11516</v>
      </c>
      <c r="R54" s="7">
        <v>0</v>
      </c>
      <c r="S54" s="7"/>
      <c r="T54" s="7">
        <v>0</v>
      </c>
      <c r="U54" s="17">
        <v>0</v>
      </c>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-1065.3756016962761</v>
      </c>
      <c r="C57" s="7">
        <v>-5.1405336631907232</v>
      </c>
      <c r="D57" s="7">
        <v>-15.350204688694532</v>
      </c>
      <c r="E57" s="7">
        <v>0</v>
      </c>
      <c r="F57" s="17">
        <f t="shared" si="1"/>
        <v>-1085.8663400481614</v>
      </c>
      <c r="K57" s="10">
        <v>30000</v>
      </c>
      <c r="L57" s="7">
        <v>0</v>
      </c>
      <c r="M57" s="7"/>
      <c r="N57" s="7">
        <v>0</v>
      </c>
      <c r="O57" s="7">
        <v>0</v>
      </c>
      <c r="P57" s="7"/>
      <c r="Q57" s="7">
        <v>0</v>
      </c>
      <c r="R57" s="7">
        <v>0</v>
      </c>
      <c r="S57" s="7"/>
      <c r="T57" s="7">
        <v>0</v>
      </c>
      <c r="U57" s="17">
        <v>0</v>
      </c>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7553034.2794029946</v>
      </c>
      <c r="C60" s="7">
        <f>SUM(C6:C58)</f>
        <v>427467.20864476688</v>
      </c>
      <c r="D60" s="7">
        <f>SUM(D6:D58)</f>
        <v>419088.82195224008</v>
      </c>
      <c r="E60" s="7">
        <f>SUM(E6:E58)</f>
        <v>0</v>
      </c>
      <c r="F60" s="17">
        <f>SUM(F6:F58)</f>
        <v>8399590.3100000005</v>
      </c>
      <c r="K60" s="10">
        <f>SUM(K6:K58)</f>
        <v>6139072</v>
      </c>
      <c r="L60" s="7">
        <f>SUM(L6:L58)</f>
        <v>5473823.1830000002</v>
      </c>
      <c r="M60" s="7"/>
      <c r="N60" s="7">
        <f>SUM(N6:N58)</f>
        <v>10343</v>
      </c>
      <c r="O60" s="7">
        <f>SUM(O6:O58)</f>
        <v>111000</v>
      </c>
      <c r="P60" s="7"/>
      <c r="Q60" s="7">
        <f>SUM(Q6:Q58)</f>
        <v>1280461</v>
      </c>
      <c r="R60" s="7">
        <f>SUM(R6:R58)</f>
        <v>660184.81700000004</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Standard Lidfe &amp; Accident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12"/>
  <sheetViews>
    <sheetView tabSelected="1" zoomScale="75" zoomScaleNormal="75" workbookViewId="0">
      <selection activeCell="C4" sqref="C4"/>
    </sheetView>
  </sheetViews>
  <sheetFormatPr defaultRowHeight="15"/>
  <cols>
    <col min="1" max="1" width="1.7109375" customWidth="1"/>
    <col min="2" max="2" width="41.140625" customWidth="1"/>
    <col min="3" max="3" width="7.28515625" style="126" customWidth="1"/>
    <col min="4" max="4" width="9.28515625" style="1" customWidth="1"/>
    <col min="5" max="5" width="14.85546875" style="31" customWidth="1"/>
    <col min="6" max="6" width="18" style="31" customWidth="1"/>
    <col min="7" max="7" width="38.42578125" style="56" customWidth="1"/>
    <col min="8" max="8" width="15.140625" style="3" bestFit="1" customWidth="1"/>
    <col min="9" max="9" width="15.5703125" style="3" customWidth="1"/>
    <col min="10" max="10" width="15.140625" style="3" bestFit="1" customWidth="1"/>
    <col min="11" max="11" width="12.28515625" style="3" bestFit="1" customWidth="1"/>
    <col min="12" max="12" width="15.7109375" style="3" customWidth="1"/>
    <col min="13" max="13" width="1.7109375" style="3" customWidth="1"/>
    <col min="14" max="14" width="15.85546875" style="3" customWidth="1"/>
    <col min="15" max="15" width="12.7109375" style="3" bestFit="1" customWidth="1"/>
    <col min="16" max="17" width="1.7109375" style="3" customWidth="1"/>
    <col min="18" max="18" width="14.7109375" style="3" customWidth="1"/>
    <col min="19" max="19" width="13.5703125" style="3" customWidth="1"/>
    <col min="20" max="20" width="1.7109375" style="3" customWidth="1"/>
    <col min="21" max="21" width="14.7109375" style="3" customWidth="1"/>
    <col min="22" max="22" width="13.7109375" style="3" customWidth="1"/>
    <col min="23" max="23" width="1.7109375" style="3" customWidth="1"/>
    <col min="24" max="24" width="13.28515625" style="3" customWidth="1"/>
    <col min="25" max="25" width="13.140625" style="3" customWidth="1"/>
    <col min="26" max="26" width="1.7109375" style="3" customWidth="1"/>
    <col min="27" max="27" width="13.7109375" style="3" customWidth="1"/>
    <col min="28" max="28" width="14.7109375" style="3" customWidth="1"/>
  </cols>
  <sheetData>
    <row r="1" spans="2:28" ht="15.75" thickBot="1"/>
    <row r="2" spans="2:28">
      <c r="B2" s="140" t="s">
        <v>54</v>
      </c>
      <c r="C2" s="141"/>
      <c r="D2" s="141"/>
      <c r="E2" s="141"/>
      <c r="F2" s="141"/>
      <c r="G2" s="141"/>
      <c r="H2" s="141"/>
      <c r="I2" s="141"/>
      <c r="J2" s="141"/>
      <c r="K2" s="141"/>
      <c r="L2" s="141"/>
      <c r="M2" s="141"/>
      <c r="N2" s="141"/>
      <c r="O2" s="142"/>
      <c r="R2" s="151" t="s">
        <v>62</v>
      </c>
      <c r="S2" s="152"/>
      <c r="T2" s="152"/>
      <c r="U2" s="152"/>
      <c r="V2" s="152"/>
      <c r="W2" s="152"/>
      <c r="X2" s="152"/>
      <c r="Y2" s="152"/>
      <c r="Z2" s="152"/>
      <c r="AA2" s="152"/>
      <c r="AB2" s="153"/>
    </row>
    <row r="3" spans="2:28" s="2" customFormat="1">
      <c r="B3" s="29"/>
      <c r="C3" s="127"/>
      <c r="D3" s="30"/>
      <c r="E3" s="32"/>
      <c r="F3" s="32"/>
      <c r="G3" s="32"/>
      <c r="H3" s="36"/>
      <c r="I3" s="36"/>
      <c r="J3" s="36"/>
      <c r="K3" s="36"/>
      <c r="L3" s="36"/>
      <c r="M3" s="36"/>
      <c r="N3" s="36"/>
      <c r="O3" s="37"/>
      <c r="P3" s="35"/>
      <c r="Q3" s="35"/>
      <c r="R3" s="155" t="s">
        <v>55</v>
      </c>
      <c r="S3" s="149"/>
      <c r="T3" s="33"/>
      <c r="U3" s="148" t="s">
        <v>56</v>
      </c>
      <c r="V3" s="149"/>
      <c r="W3" s="33"/>
      <c r="X3" s="148" t="s">
        <v>57</v>
      </c>
      <c r="Y3" s="149"/>
      <c r="Z3" s="33"/>
      <c r="AA3" s="148" t="s">
        <v>56</v>
      </c>
      <c r="AB3" s="150"/>
    </row>
    <row r="4" spans="2:28" s="2" customFormat="1" ht="45.75" thickBot="1">
      <c r="B4" s="29"/>
      <c r="C4" s="127" t="s">
        <v>158</v>
      </c>
      <c r="D4" s="30" t="s">
        <v>159</v>
      </c>
      <c r="E4" s="32" t="s">
        <v>160</v>
      </c>
      <c r="F4" s="32" t="s">
        <v>161</v>
      </c>
      <c r="G4" s="32" t="s">
        <v>162</v>
      </c>
      <c r="H4" s="33" t="s">
        <v>55</v>
      </c>
      <c r="I4" s="33" t="s">
        <v>56</v>
      </c>
      <c r="J4" s="33" t="s">
        <v>57</v>
      </c>
      <c r="K4" s="33" t="s">
        <v>58</v>
      </c>
      <c r="L4" s="33" t="s">
        <v>163</v>
      </c>
      <c r="M4" s="34"/>
      <c r="N4" s="33" t="s">
        <v>164</v>
      </c>
      <c r="O4" s="34" t="s">
        <v>165</v>
      </c>
      <c r="P4" s="35"/>
      <c r="Q4" s="35"/>
      <c r="R4" s="49" t="s">
        <v>60</v>
      </c>
      <c r="S4" s="33" t="s">
        <v>61</v>
      </c>
      <c r="T4" s="33"/>
      <c r="U4" s="33" t="s">
        <v>60</v>
      </c>
      <c r="V4" s="33" t="s">
        <v>61</v>
      </c>
      <c r="W4" s="33"/>
      <c r="X4" s="33" t="s">
        <v>60</v>
      </c>
      <c r="Y4" s="33" t="s">
        <v>61</v>
      </c>
      <c r="Z4" s="33"/>
      <c r="AA4" s="33" t="s">
        <v>60</v>
      </c>
      <c r="AB4" s="34" t="s">
        <v>61</v>
      </c>
    </row>
    <row r="5" spans="2:28">
      <c r="B5" s="42" t="s">
        <v>166</v>
      </c>
      <c r="C5" s="128"/>
      <c r="D5" s="27"/>
      <c r="E5" s="39"/>
      <c r="F5" s="39"/>
      <c r="G5" s="57"/>
      <c r="H5" s="40"/>
      <c r="I5" s="40"/>
      <c r="J5" s="40"/>
      <c r="K5" s="40"/>
      <c r="L5" s="40"/>
      <c r="M5" s="38"/>
      <c r="N5" s="40"/>
      <c r="O5" s="38"/>
      <c r="R5" s="48"/>
      <c r="S5" s="40"/>
      <c r="T5" s="40"/>
      <c r="U5" s="40"/>
      <c r="V5" s="40"/>
      <c r="W5" s="40"/>
      <c r="X5" s="40"/>
      <c r="Y5" s="40"/>
      <c r="Z5" s="40"/>
      <c r="AA5" s="40"/>
      <c r="AB5" s="38"/>
    </row>
    <row r="6" spans="2:28" ht="6.95" customHeight="1">
      <c r="B6" s="8"/>
      <c r="C6" s="129"/>
      <c r="D6" s="28"/>
      <c r="E6" s="41"/>
      <c r="F6" s="41"/>
      <c r="G6" s="58"/>
      <c r="H6" s="7"/>
      <c r="I6" s="7"/>
      <c r="J6" s="7"/>
      <c r="K6" s="7"/>
      <c r="L6" s="7"/>
      <c r="M6" s="17"/>
      <c r="N6" s="7"/>
      <c r="O6" s="17"/>
      <c r="R6" s="10"/>
      <c r="S6" s="7"/>
      <c r="T6" s="7"/>
      <c r="U6" s="7"/>
      <c r="V6" s="7"/>
      <c r="W6" s="7"/>
      <c r="X6" s="7"/>
      <c r="Y6" s="7"/>
      <c r="Z6" s="7"/>
      <c r="AA6" s="7"/>
      <c r="AB6" s="17"/>
    </row>
    <row r="7" spans="2:28">
      <c r="B7" s="8" t="s">
        <v>168</v>
      </c>
      <c r="C7" s="129" t="s">
        <v>169</v>
      </c>
      <c r="D7" s="28" t="s">
        <v>170</v>
      </c>
      <c r="E7" s="41">
        <v>40276</v>
      </c>
      <c r="F7" s="41"/>
      <c r="G7" s="58"/>
      <c r="H7" s="7">
        <f>+'American Community'!B60</f>
        <v>3221.6530479622106</v>
      </c>
      <c r="I7" s="7">
        <f>+'American Community'!C60</f>
        <v>0</v>
      </c>
      <c r="J7" s="7">
        <f>+'American Community'!D60</f>
        <v>267711.0669520378</v>
      </c>
      <c r="K7" s="7">
        <f>+'American Community'!E60</f>
        <v>0</v>
      </c>
      <c r="L7" s="7">
        <f>SUM(H7:K7)</f>
        <v>270932.72000000003</v>
      </c>
      <c r="M7" s="17"/>
      <c r="N7" s="7">
        <v>264819.42000000004</v>
      </c>
      <c r="O7" s="17">
        <f>+L7-N7</f>
        <v>6113.2999999999884</v>
      </c>
      <c r="R7" s="10">
        <f>+'American Community'!K60</f>
        <v>0</v>
      </c>
      <c r="S7" s="7">
        <f>+'American Community'!L60</f>
        <v>0</v>
      </c>
      <c r="T7" s="7"/>
      <c r="U7" s="7">
        <f>+'American Community'!N60</f>
        <v>0</v>
      </c>
      <c r="V7" s="7">
        <f>+'American Community'!O60</f>
        <v>0</v>
      </c>
      <c r="W7" s="7"/>
      <c r="X7" s="7">
        <f>+'American Community'!Q60</f>
        <v>0</v>
      </c>
      <c r="Y7" s="7">
        <f>+'American Community'!R60</f>
        <v>0</v>
      </c>
      <c r="Z7" s="7"/>
      <c r="AA7" s="7">
        <f>+'American Community'!T60</f>
        <v>0</v>
      </c>
      <c r="AB7" s="17">
        <f>+'American Community'!U60</f>
        <v>0</v>
      </c>
    </row>
    <row r="8" spans="2:28">
      <c r="B8" s="8" t="s">
        <v>171</v>
      </c>
      <c r="C8" s="129" t="s">
        <v>172</v>
      </c>
      <c r="D8" s="28" t="s">
        <v>173</v>
      </c>
      <c r="E8" s="41">
        <v>39819</v>
      </c>
      <c r="F8" s="54" t="s">
        <v>389</v>
      </c>
      <c r="G8" s="58"/>
      <c r="H8" s="7">
        <f>+'American Network'!B60</f>
        <v>0</v>
      </c>
      <c r="I8" s="7">
        <f>+'American Network'!C60</f>
        <v>0</v>
      </c>
      <c r="J8" s="7">
        <f>+'American Network'!D60</f>
        <v>299031652.33721685</v>
      </c>
      <c r="K8" s="7">
        <f>+'American Network'!E60</f>
        <v>0</v>
      </c>
      <c r="L8" s="7">
        <f>SUM(H8:K8)</f>
        <v>299031652.33721685</v>
      </c>
      <c r="M8" s="17"/>
      <c r="N8" s="7">
        <v>256614397.14916712</v>
      </c>
      <c r="O8" s="17">
        <f>+L8-N8</f>
        <v>42417255.188049734</v>
      </c>
      <c r="R8" s="10">
        <f>+'American Network'!K60</f>
        <v>0</v>
      </c>
      <c r="S8" s="7">
        <f>+'American Network'!L60</f>
        <v>0</v>
      </c>
      <c r="T8" s="7"/>
      <c r="U8" s="7">
        <f>+'American Network'!N60</f>
        <v>0</v>
      </c>
      <c r="V8" s="7">
        <f>+'American Network'!O60</f>
        <v>0</v>
      </c>
      <c r="W8" s="7"/>
      <c r="X8" s="7">
        <f>+'American Network'!Q60</f>
        <v>0</v>
      </c>
      <c r="Y8" s="7">
        <f>+'American Network'!R60</f>
        <v>0</v>
      </c>
      <c r="Z8" s="7"/>
      <c r="AA8" s="7">
        <f>+'American Network'!T60</f>
        <v>0</v>
      </c>
      <c r="AB8" s="17">
        <f>+'American Network'!U60</f>
        <v>0</v>
      </c>
    </row>
    <row r="9" spans="2:28">
      <c r="B9" s="8" t="s">
        <v>174</v>
      </c>
      <c r="C9" s="129" t="s">
        <v>175</v>
      </c>
      <c r="D9" s="28" t="s">
        <v>176</v>
      </c>
      <c r="E9" s="41">
        <v>34494</v>
      </c>
      <c r="F9" s="41"/>
      <c r="G9" s="58"/>
      <c r="H9" s="7">
        <f>+'Monarch Life'!B60</f>
        <v>212641.96682128328</v>
      </c>
      <c r="I9" s="7">
        <f>+'Monarch Life'!C60</f>
        <v>93933.541621614961</v>
      </c>
      <c r="J9" s="7">
        <f>+'Monarch Life'!D60</f>
        <v>208210.00155710179</v>
      </c>
      <c r="K9" s="7">
        <f>+'Monarch Life'!E60</f>
        <v>0</v>
      </c>
      <c r="L9" s="7">
        <f>SUM(H9:K9)</f>
        <v>514785.51</v>
      </c>
      <c r="M9" s="17"/>
      <c r="N9" s="7">
        <v>514785.50999999995</v>
      </c>
      <c r="O9" s="17">
        <f>+L9-N9</f>
        <v>0</v>
      </c>
      <c r="R9" s="10">
        <f>+'Monarch Life'!K60</f>
        <v>5138</v>
      </c>
      <c r="S9" s="7">
        <f>+'Monarch Life'!L60</f>
        <v>490</v>
      </c>
      <c r="T9" s="7"/>
      <c r="U9" s="7">
        <f>+'Monarch Life'!N60</f>
        <v>228</v>
      </c>
      <c r="V9" s="7">
        <f>+'Monarch Life'!O60</f>
        <v>0</v>
      </c>
      <c r="W9" s="7"/>
      <c r="X9" s="7">
        <f>+'Monarch Life'!Q60</f>
        <v>304</v>
      </c>
      <c r="Y9" s="7">
        <f>+'Monarch Life'!R60</f>
        <v>0</v>
      </c>
      <c r="Z9" s="7"/>
      <c r="AA9" s="7">
        <f>+'Monarch Life'!T60</f>
        <v>0</v>
      </c>
      <c r="AB9" s="17">
        <f>+'Monarch Life'!U60</f>
        <v>0</v>
      </c>
    </row>
    <row r="10" spans="2:28">
      <c r="B10" s="8" t="s">
        <v>177</v>
      </c>
      <c r="C10" s="129" t="s">
        <v>178</v>
      </c>
      <c r="D10" s="28" t="s">
        <v>173</v>
      </c>
      <c r="E10" s="41">
        <v>39819</v>
      </c>
      <c r="F10" s="54" t="s">
        <v>389</v>
      </c>
      <c r="G10" s="58"/>
      <c r="H10" s="7">
        <f>+'Pen  Treaty'!B60</f>
        <v>0</v>
      </c>
      <c r="I10" s="7">
        <f>+'Pen  Treaty'!C60</f>
        <v>0</v>
      </c>
      <c r="J10" s="7">
        <f>+'Pen  Treaty'!D60</f>
        <v>2025428153.5829346</v>
      </c>
      <c r="K10" s="7">
        <f>+'Pen  Treaty'!E60</f>
        <v>0</v>
      </c>
      <c r="L10" s="7">
        <f>SUM(H10:K10)</f>
        <v>2025428153.5829346</v>
      </c>
      <c r="M10" s="17"/>
      <c r="N10" s="7">
        <v>2061551653.7462823</v>
      </c>
      <c r="O10" s="17">
        <f>+L10-N10</f>
        <v>-36123500.163347721</v>
      </c>
      <c r="R10" s="10">
        <f>+'Pen  Treaty'!K60</f>
        <v>0</v>
      </c>
      <c r="S10" s="7">
        <f>+'Pen  Treaty'!L60</f>
        <v>0</v>
      </c>
      <c r="T10" s="7"/>
      <c r="U10" s="7">
        <f>+'Pen  Treaty'!N60</f>
        <v>0</v>
      </c>
      <c r="V10" s="7">
        <f>+'Pen  Treaty'!O60</f>
        <v>0</v>
      </c>
      <c r="W10" s="7"/>
      <c r="X10" s="7">
        <f>+'Pen  Treaty'!Q60</f>
        <v>0</v>
      </c>
      <c r="Y10" s="7">
        <f>+'Pen  Treaty'!R60</f>
        <v>0</v>
      </c>
      <c r="Z10" s="7"/>
      <c r="AA10" s="7">
        <f>+'Pen  Treaty'!T60</f>
        <v>0</v>
      </c>
      <c r="AB10" s="17">
        <f>+'Pen  Treaty'!U60</f>
        <v>0</v>
      </c>
    </row>
    <row r="11" spans="2:28" ht="6.95" customHeight="1" thickBot="1">
      <c r="B11" s="8"/>
      <c r="C11" s="129"/>
      <c r="D11" s="28"/>
      <c r="E11" s="41"/>
      <c r="F11" s="41"/>
      <c r="G11" s="58"/>
      <c r="H11" s="7"/>
      <c r="I11" s="7"/>
      <c r="J11" s="7"/>
      <c r="K11" s="7"/>
      <c r="L11" s="7"/>
      <c r="M11" s="17"/>
      <c r="N11" s="7"/>
      <c r="O11" s="17"/>
      <c r="R11" s="10"/>
      <c r="S11" s="7"/>
      <c r="T11" s="7"/>
      <c r="U11" s="7"/>
      <c r="V11" s="7"/>
      <c r="W11" s="7"/>
      <c r="X11" s="7"/>
      <c r="Y11" s="7"/>
      <c r="Z11" s="7"/>
      <c r="AA11" s="7"/>
      <c r="AB11" s="17"/>
    </row>
    <row r="12" spans="2:28" ht="15.75" thickBot="1">
      <c r="B12" s="43" t="s">
        <v>179</v>
      </c>
      <c r="C12" s="130"/>
      <c r="D12" s="44"/>
      <c r="E12" s="45"/>
      <c r="F12" s="45"/>
      <c r="G12" s="59"/>
      <c r="H12" s="46">
        <f t="shared" ref="H12:O12" si="0">SUM(H6:H11)</f>
        <v>215863.61986924548</v>
      </c>
      <c r="I12" s="46">
        <f t="shared" si="0"/>
        <v>93933.541621614961</v>
      </c>
      <c r="J12" s="46">
        <f t="shared" si="0"/>
        <v>2324935726.9886608</v>
      </c>
      <c r="K12" s="46">
        <f t="shared" si="0"/>
        <v>0</v>
      </c>
      <c r="L12" s="46">
        <f t="shared" si="0"/>
        <v>2325245524.1501513</v>
      </c>
      <c r="M12" s="47"/>
      <c r="N12" s="46">
        <f t="shared" si="0"/>
        <v>2318945655.8254495</v>
      </c>
      <c r="O12" s="47">
        <f t="shared" si="0"/>
        <v>6299868.3247020096</v>
      </c>
      <c r="R12" s="50">
        <f>SUM(R6:R11)</f>
        <v>5138</v>
      </c>
      <c r="S12" s="46">
        <f>SUM(S6:S11)</f>
        <v>490</v>
      </c>
      <c r="T12" s="46"/>
      <c r="U12" s="46">
        <f>SUM(U6:U11)</f>
        <v>228</v>
      </c>
      <c r="V12" s="46">
        <f>SUM(V6:V11)</f>
        <v>0</v>
      </c>
      <c r="W12" s="46"/>
      <c r="X12" s="46">
        <f>SUM(X6:X11)</f>
        <v>304</v>
      </c>
      <c r="Y12" s="46">
        <f>SUM(Y6:Y11)</f>
        <v>0</v>
      </c>
      <c r="Z12" s="46"/>
      <c r="AA12" s="46">
        <f>SUM(AA6:AA11)</f>
        <v>0</v>
      </c>
      <c r="AB12" s="47">
        <f>SUM(AB6:AB11)</f>
        <v>0</v>
      </c>
    </row>
    <row r="13" spans="2:28" ht="15.75" thickBot="1"/>
    <row r="14" spans="2:28">
      <c r="B14" s="42" t="s">
        <v>187</v>
      </c>
      <c r="C14" s="128"/>
      <c r="D14" s="27"/>
      <c r="E14" s="39"/>
      <c r="F14" s="39"/>
      <c r="G14" s="57"/>
      <c r="H14" s="40"/>
      <c r="I14" s="40"/>
      <c r="J14" s="40"/>
      <c r="K14" s="40"/>
      <c r="L14" s="40"/>
      <c r="M14" s="38"/>
      <c r="N14" s="40"/>
      <c r="O14" s="38"/>
      <c r="R14" s="48"/>
      <c r="S14" s="40"/>
      <c r="T14" s="40"/>
      <c r="U14" s="40"/>
      <c r="V14" s="40"/>
      <c r="W14" s="40"/>
      <c r="X14" s="40"/>
      <c r="Y14" s="40"/>
      <c r="Z14" s="40"/>
      <c r="AA14" s="40"/>
      <c r="AB14" s="38"/>
    </row>
    <row r="15" spans="2:28" ht="6.95" customHeight="1">
      <c r="B15" s="8"/>
      <c r="C15" s="129"/>
      <c r="D15" s="28"/>
      <c r="E15" s="41"/>
      <c r="F15" s="41"/>
      <c r="G15" s="58"/>
      <c r="H15" s="7"/>
      <c r="I15" s="7"/>
      <c r="J15" s="7"/>
      <c r="K15" s="7"/>
      <c r="L15" s="7"/>
      <c r="M15" s="17"/>
      <c r="N15" s="7"/>
      <c r="O15" s="17"/>
      <c r="R15" s="10"/>
      <c r="S15" s="7"/>
      <c r="T15" s="7"/>
      <c r="U15" s="7"/>
      <c r="V15" s="7"/>
      <c r="W15" s="7"/>
      <c r="X15" s="7"/>
      <c r="Y15" s="7"/>
      <c r="Z15" s="7"/>
      <c r="AA15" s="7"/>
      <c r="AB15" s="17"/>
    </row>
    <row r="16" spans="2:28">
      <c r="B16" s="8" t="s">
        <v>188</v>
      </c>
      <c r="C16" s="129" t="s">
        <v>189</v>
      </c>
      <c r="D16" s="28" t="s">
        <v>190</v>
      </c>
      <c r="E16" s="41">
        <v>38770</v>
      </c>
      <c r="F16" s="41">
        <v>40303</v>
      </c>
      <c r="G16" s="58"/>
      <c r="H16" s="7">
        <f>+'Booker T Washington'!B60</f>
        <v>24362569</v>
      </c>
      <c r="I16" s="7">
        <f>+'Booker T Washington'!C60</f>
        <v>0</v>
      </c>
      <c r="J16" s="7">
        <f>+'Booker T Washington'!D60</f>
        <v>22778.2</v>
      </c>
      <c r="K16" s="7">
        <f>+'Booker T Washington'!E60</f>
        <v>0</v>
      </c>
      <c r="L16" s="7">
        <f t="shared" ref="L16:L26" si="1">SUM(H16:K16)</f>
        <v>24385347.199999999</v>
      </c>
      <c r="M16" s="17"/>
      <c r="N16" s="7">
        <v>23491005.789999999</v>
      </c>
      <c r="O16" s="17">
        <f t="shared" ref="O16:O26" si="2">+L16-N16</f>
        <v>894341.41000000015</v>
      </c>
      <c r="R16" s="10">
        <f>+'Booker T Washington'!K60</f>
        <v>0</v>
      </c>
      <c r="S16" s="7">
        <f>+'Booker T Washington'!L60</f>
        <v>0</v>
      </c>
      <c r="T16" s="7"/>
      <c r="U16" s="7">
        <f>+'Booker T Washington'!N60</f>
        <v>0</v>
      </c>
      <c r="V16" s="7">
        <f>+'Booker T Washington'!O60</f>
        <v>0</v>
      </c>
      <c r="W16" s="7"/>
      <c r="X16" s="7">
        <f>+'Booker T Washington'!Q60</f>
        <v>0</v>
      </c>
      <c r="Y16" s="7">
        <f>+'Booker T Washington'!R60</f>
        <v>0</v>
      </c>
      <c r="Z16" s="7"/>
      <c r="AA16" s="7">
        <f>+'Booker T Washington'!T60</f>
        <v>0</v>
      </c>
      <c r="AB16" s="17">
        <f>+'Booker T Washington'!U60</f>
        <v>0</v>
      </c>
    </row>
    <row r="17" spans="2:28">
      <c r="B17" s="8" t="s">
        <v>191</v>
      </c>
      <c r="C17" s="129" t="s">
        <v>192</v>
      </c>
      <c r="D17" s="28" t="s">
        <v>193</v>
      </c>
      <c r="E17" s="41">
        <v>33339</v>
      </c>
      <c r="F17" s="41">
        <v>33578</v>
      </c>
      <c r="G17" s="58"/>
      <c r="H17" s="7">
        <f>+'Executive Life'!B60</f>
        <v>1187398270.1507559</v>
      </c>
      <c r="I17" s="7">
        <f>+'Executive Life'!C60</f>
        <v>1727929711.730109</v>
      </c>
      <c r="J17" s="7">
        <f>+'Executive Life'!D60</f>
        <v>0</v>
      </c>
      <c r="K17" s="7">
        <f>+'Executive Life'!E60</f>
        <v>31574088.732868716</v>
      </c>
      <c r="L17" s="7">
        <f t="shared" si="1"/>
        <v>2946902070.6137338</v>
      </c>
      <c r="M17" s="17"/>
      <c r="N17" s="7">
        <v>2958273277.7582736</v>
      </c>
      <c r="O17" s="17">
        <f t="shared" si="2"/>
        <v>-11371207.144539833</v>
      </c>
      <c r="R17" s="10">
        <f>+'Executive Life'!K60</f>
        <v>1066088157</v>
      </c>
      <c r="S17" s="7">
        <f>+'Executive Life'!L60</f>
        <v>500000</v>
      </c>
      <c r="T17" s="7"/>
      <c r="U17" s="7">
        <f>+'Executive Life'!N60</f>
        <v>1342953893</v>
      </c>
      <c r="V17" s="7">
        <f>+'Executive Life'!O60</f>
        <v>50963161.450000003</v>
      </c>
      <c r="W17" s="7"/>
      <c r="X17" s="7">
        <f>+'Executive Life'!Q60</f>
        <v>590625</v>
      </c>
      <c r="Y17" s="7">
        <f>+'Executive Life'!R60</f>
        <v>0</v>
      </c>
      <c r="Z17" s="7"/>
      <c r="AA17" s="7">
        <f>+'Executive Life'!T60</f>
        <v>42365781</v>
      </c>
      <c r="AB17" s="17">
        <f>+'Executive Life'!U60</f>
        <v>20669526.82</v>
      </c>
    </row>
    <row r="18" spans="2:28">
      <c r="B18" s="8" t="s">
        <v>194</v>
      </c>
      <c r="C18" s="129" t="s">
        <v>195</v>
      </c>
      <c r="D18" s="28" t="s">
        <v>196</v>
      </c>
      <c r="E18" s="41">
        <v>33351</v>
      </c>
      <c r="F18" s="41">
        <v>41494</v>
      </c>
      <c r="G18" s="58"/>
      <c r="H18" s="7">
        <f>+ELNY!B60</f>
        <v>0</v>
      </c>
      <c r="I18" s="7">
        <f>+ELNY!C60</f>
        <v>764488820.75966001</v>
      </c>
      <c r="J18" s="7">
        <f>+ELNY!D60</f>
        <v>0</v>
      </c>
      <c r="K18" s="7">
        <f>+ELNY!E60</f>
        <v>0</v>
      </c>
      <c r="L18" s="7">
        <f t="shared" si="1"/>
        <v>764488820.75966001</v>
      </c>
      <c r="M18" s="17"/>
      <c r="N18" s="7">
        <v>742306029.89742815</v>
      </c>
      <c r="O18" s="17">
        <f t="shared" si="2"/>
        <v>22182790.862231851</v>
      </c>
      <c r="R18" s="10">
        <f>+ELNY!K60</f>
        <v>4999627</v>
      </c>
      <c r="S18" s="7">
        <f>+ELNY!L60</f>
        <v>0</v>
      </c>
      <c r="T18" s="7"/>
      <c r="U18" s="7">
        <f>+ELNY!N60</f>
        <v>1000000</v>
      </c>
      <c r="V18" s="7">
        <f>+ELNY!O60</f>
        <v>0</v>
      </c>
      <c r="W18" s="7"/>
      <c r="X18" s="7">
        <f>+ELNY!Q60</f>
        <v>0</v>
      </c>
      <c r="Y18" s="7">
        <f>+ELNY!R60</f>
        <v>0</v>
      </c>
      <c r="Z18" s="7"/>
      <c r="AA18" s="7">
        <f>+ELNY!T60</f>
        <v>0</v>
      </c>
      <c r="AB18" s="17">
        <f>+ELNY!U60</f>
        <v>0</v>
      </c>
    </row>
    <row r="19" spans="2:28">
      <c r="B19" s="8" t="s">
        <v>197</v>
      </c>
      <c r="C19" s="129" t="s">
        <v>198</v>
      </c>
      <c r="D19" s="28" t="s">
        <v>199</v>
      </c>
      <c r="E19" s="41">
        <v>40135</v>
      </c>
      <c r="F19" s="41">
        <v>40301</v>
      </c>
      <c r="G19" s="58"/>
      <c r="H19" s="7">
        <f>+Imerica!B60</f>
        <v>0</v>
      </c>
      <c r="I19" s="7">
        <f>+Imerica!C60</f>
        <v>0</v>
      </c>
      <c r="J19" s="7">
        <f>+Imerica!D60</f>
        <v>13553542.659999998</v>
      </c>
      <c r="K19" s="7">
        <f>+Imerica!E60</f>
        <v>0</v>
      </c>
      <c r="L19" s="7">
        <f t="shared" si="1"/>
        <v>13553542.659999998</v>
      </c>
      <c r="M19" s="17"/>
      <c r="N19" s="7">
        <v>13445883.716999998</v>
      </c>
      <c r="O19" s="17">
        <f t="shared" si="2"/>
        <v>107658.94299999997</v>
      </c>
      <c r="R19" s="10">
        <f>+Imerica!K60</f>
        <v>0</v>
      </c>
      <c r="S19" s="7">
        <f>+Imerica!L60</f>
        <v>0</v>
      </c>
      <c r="T19" s="7"/>
      <c r="U19" s="7">
        <f>+Imerica!N60</f>
        <v>0</v>
      </c>
      <c r="V19" s="7">
        <f>+Imerica!O60</f>
        <v>0</v>
      </c>
      <c r="W19" s="7"/>
      <c r="X19" s="7">
        <f>+Imerica!Q60</f>
        <v>5602182</v>
      </c>
      <c r="Y19" s="7">
        <f>+Imerica!R60</f>
        <v>0</v>
      </c>
      <c r="Z19" s="7"/>
      <c r="AA19" s="7">
        <f>+Imerica!T60</f>
        <v>0</v>
      </c>
      <c r="AB19" s="17">
        <f>+Imerica!U60</f>
        <v>0</v>
      </c>
    </row>
    <row r="20" spans="2:28">
      <c r="B20" s="8" t="s">
        <v>200</v>
      </c>
      <c r="C20" s="129" t="s">
        <v>201</v>
      </c>
      <c r="D20" s="28" t="s">
        <v>173</v>
      </c>
      <c r="E20" s="41"/>
      <c r="F20" s="41">
        <v>38170</v>
      </c>
      <c r="G20" s="58">
        <v>39413</v>
      </c>
      <c r="H20" s="7">
        <f>+'Life Health America'!B60</f>
        <v>644428.21074203961</v>
      </c>
      <c r="I20" s="7">
        <f>+'Life Health America'!C60</f>
        <v>0</v>
      </c>
      <c r="J20" s="7">
        <f>+'Life Health America'!D60</f>
        <v>35440960.132967681</v>
      </c>
      <c r="K20" s="7">
        <f>+'Life Health America'!E60</f>
        <v>0</v>
      </c>
      <c r="L20" s="7">
        <f t="shared" si="1"/>
        <v>36085388.343709722</v>
      </c>
      <c r="M20" s="17"/>
      <c r="N20" s="7">
        <v>36276356.97370971</v>
      </c>
      <c r="O20" s="17">
        <f t="shared" si="2"/>
        <v>-190968.62999998778</v>
      </c>
      <c r="R20" s="10">
        <f>+'Life Health America'!K60</f>
        <v>247961</v>
      </c>
      <c r="S20" s="7">
        <f>+'Life Health America'!L60</f>
        <v>0</v>
      </c>
      <c r="T20" s="7"/>
      <c r="U20" s="7">
        <f>+'Life Health America'!N60</f>
        <v>529</v>
      </c>
      <c r="V20" s="7">
        <f>+'Life Health America'!O60</f>
        <v>0</v>
      </c>
      <c r="W20" s="7"/>
      <c r="X20" s="7">
        <f>+'Life Health America'!Q60</f>
        <v>4619802</v>
      </c>
      <c r="Y20" s="7">
        <f>+'Life Health America'!R60</f>
        <v>1100000</v>
      </c>
      <c r="Z20" s="7"/>
      <c r="AA20" s="7">
        <f>+'Life Health America'!T60</f>
        <v>0</v>
      </c>
      <c r="AB20" s="17">
        <f>+'Life Health America'!U60</f>
        <v>0</v>
      </c>
    </row>
    <row r="21" spans="2:28">
      <c r="B21" s="8" t="s">
        <v>202</v>
      </c>
      <c r="C21" s="129" t="s">
        <v>203</v>
      </c>
      <c r="D21" s="28" t="s">
        <v>204</v>
      </c>
      <c r="E21" s="41">
        <v>39582</v>
      </c>
      <c r="F21" s="41">
        <v>39713</v>
      </c>
      <c r="G21" s="55" t="s">
        <v>390</v>
      </c>
      <c r="H21" s="7">
        <f>+'Lincoln Memorial'!B60</f>
        <v>291785160.944727</v>
      </c>
      <c r="I21" s="7">
        <f>+'Lincoln Memorial'!C60</f>
        <v>436881.20499182475</v>
      </c>
      <c r="J21" s="7">
        <f>+'Lincoln Memorial'!D60</f>
        <v>0</v>
      </c>
      <c r="K21" s="7">
        <f>+'Lincoln Memorial'!E60</f>
        <v>0</v>
      </c>
      <c r="L21" s="7">
        <f t="shared" si="1"/>
        <v>292222042.14971882</v>
      </c>
      <c r="M21" s="17"/>
      <c r="N21" s="7">
        <v>283672291.52069306</v>
      </c>
      <c r="O21" s="17">
        <f t="shared" si="2"/>
        <v>8549750.6290257573</v>
      </c>
      <c r="R21" s="10">
        <f>+'Lincoln Memorial'!K60</f>
        <v>131626160</v>
      </c>
      <c r="S21" s="7">
        <f>+'Lincoln Memorial'!L60</f>
        <v>0</v>
      </c>
      <c r="T21" s="7"/>
      <c r="U21" s="7">
        <f>+'Lincoln Memorial'!N60</f>
        <v>0</v>
      </c>
      <c r="V21" s="7">
        <f>+'Lincoln Memorial'!O60</f>
        <v>0</v>
      </c>
      <c r="W21" s="7"/>
      <c r="X21" s="7">
        <f>+'Lincoln Memorial'!Q60</f>
        <v>0</v>
      </c>
      <c r="Y21" s="7">
        <f>+'Lincoln Memorial'!R60</f>
        <v>0</v>
      </c>
      <c r="Z21" s="7"/>
      <c r="AA21" s="7">
        <f>+'Lincoln Memorial'!T60</f>
        <v>0</v>
      </c>
      <c r="AB21" s="17">
        <f>+'Lincoln Memorial'!U60</f>
        <v>0</v>
      </c>
    </row>
    <row r="22" spans="2:28">
      <c r="B22" s="8" t="s">
        <v>205</v>
      </c>
      <c r="C22" s="129" t="s">
        <v>206</v>
      </c>
      <c r="D22" s="28" t="s">
        <v>207</v>
      </c>
      <c r="E22" s="41">
        <v>39783</v>
      </c>
      <c r="F22" s="41">
        <v>39870</v>
      </c>
      <c r="G22" s="58"/>
      <c r="H22" s="7">
        <f>+'Medical Savings'!B60</f>
        <v>0</v>
      </c>
      <c r="I22" s="7">
        <f>+'Medical Savings'!C60</f>
        <v>0</v>
      </c>
      <c r="J22" s="7">
        <f>+'Medical Savings'!D60</f>
        <v>25236408.27</v>
      </c>
      <c r="K22" s="7">
        <f>+'Medical Savings'!E60</f>
        <v>0</v>
      </c>
      <c r="L22" s="7">
        <f t="shared" si="1"/>
        <v>25236408.27</v>
      </c>
      <c r="M22" s="17"/>
      <c r="N22" s="7">
        <v>23111810.950000003</v>
      </c>
      <c r="O22" s="17">
        <f t="shared" si="2"/>
        <v>2124597.3199999966</v>
      </c>
      <c r="R22" s="10">
        <f>+'Medical Savings'!K60</f>
        <v>0</v>
      </c>
      <c r="S22" s="7">
        <f>+'Medical Savings'!L60</f>
        <v>0</v>
      </c>
      <c r="T22" s="7"/>
      <c r="U22" s="7">
        <f>+'Medical Savings'!N60</f>
        <v>0</v>
      </c>
      <c r="V22" s="7">
        <f>+'Medical Savings'!O60</f>
        <v>0</v>
      </c>
      <c r="W22" s="7"/>
      <c r="X22" s="7">
        <f>+'Medical Savings'!Q60</f>
        <v>16529400</v>
      </c>
      <c r="Y22" s="7">
        <f>+'Medical Savings'!R60</f>
        <v>31891</v>
      </c>
      <c r="Z22" s="7"/>
      <c r="AA22" s="7">
        <f>+'Medical Savings'!T60</f>
        <v>0</v>
      </c>
      <c r="AB22" s="17">
        <f>+'Medical Savings'!U60</f>
        <v>0</v>
      </c>
    </row>
    <row r="23" spans="2:28">
      <c r="B23" s="8" t="s">
        <v>208</v>
      </c>
      <c r="C23" s="129" t="s">
        <v>209</v>
      </c>
      <c r="D23" s="28" t="s">
        <v>204</v>
      </c>
      <c r="E23" s="41">
        <v>39582</v>
      </c>
      <c r="F23" s="41">
        <v>39713</v>
      </c>
      <c r="G23" s="58"/>
      <c r="H23" s="7">
        <f>+'Memorial Service'!B60</f>
        <v>109045627.59916206</v>
      </c>
      <c r="I23" s="7">
        <f>+'Memorial Service'!C60</f>
        <v>0</v>
      </c>
      <c r="J23" s="7">
        <f>+'Memorial Service'!D60</f>
        <v>0</v>
      </c>
      <c r="K23" s="7">
        <f>+'Memorial Service'!E60</f>
        <v>0</v>
      </c>
      <c r="L23" s="7">
        <f t="shared" si="1"/>
        <v>109045627.59916206</v>
      </c>
      <c r="M23" s="17"/>
      <c r="N23" s="7">
        <v>109836161.42201699</v>
      </c>
      <c r="O23" s="17">
        <f t="shared" si="2"/>
        <v>-790533.82285493612</v>
      </c>
      <c r="R23" s="10">
        <f>+'Memorial Service'!K60</f>
        <v>91939000</v>
      </c>
      <c r="S23" s="7">
        <f>+'Memorial Service'!L60</f>
        <v>0</v>
      </c>
      <c r="T23" s="7"/>
      <c r="U23" s="7">
        <f>+'Memorial Service'!N60</f>
        <v>0</v>
      </c>
      <c r="V23" s="7">
        <f>+'Memorial Service'!O60</f>
        <v>0</v>
      </c>
      <c r="W23" s="7"/>
      <c r="X23" s="7">
        <f>+'Memorial Service'!Q60</f>
        <v>0</v>
      </c>
      <c r="Y23" s="7">
        <f>+'Memorial Service'!R60</f>
        <v>0</v>
      </c>
      <c r="Z23" s="7"/>
      <c r="AA23" s="7">
        <f>+'Memorial Service'!T60</f>
        <v>0</v>
      </c>
      <c r="AB23" s="17">
        <f>+'Memorial Service'!U60</f>
        <v>0</v>
      </c>
    </row>
    <row r="24" spans="2:28">
      <c r="B24" s="8" t="s">
        <v>210</v>
      </c>
      <c r="C24" s="129" t="s">
        <v>211</v>
      </c>
      <c r="D24" s="28" t="s">
        <v>212</v>
      </c>
      <c r="E24" s="41">
        <v>40269</v>
      </c>
      <c r="F24" s="41">
        <v>40497</v>
      </c>
      <c r="G24" s="58"/>
      <c r="H24" s="7">
        <f>+'National States'!B60</f>
        <v>3996790.9553936548</v>
      </c>
      <c r="I24" s="7">
        <f>+'National States'!C60</f>
        <v>0</v>
      </c>
      <c r="J24" s="7">
        <f>+'National States'!D60</f>
        <v>140729982.50963187</v>
      </c>
      <c r="K24" s="7">
        <f>+'National States'!E60</f>
        <v>0</v>
      </c>
      <c r="L24" s="7">
        <f t="shared" si="1"/>
        <v>144726773.46502551</v>
      </c>
      <c r="M24" s="17"/>
      <c r="N24" s="7">
        <v>130154586.22615451</v>
      </c>
      <c r="O24" s="17">
        <f t="shared" si="2"/>
        <v>14572187.238871008</v>
      </c>
      <c r="R24" s="10">
        <f>+'National States'!K60</f>
        <v>1134995</v>
      </c>
      <c r="S24" s="7">
        <f>+'National States'!L60</f>
        <v>0</v>
      </c>
      <c r="T24" s="7"/>
      <c r="U24" s="7">
        <f>+'National States'!N60</f>
        <v>265000</v>
      </c>
      <c r="V24" s="7">
        <f>+'National States'!O60</f>
        <v>0</v>
      </c>
      <c r="W24" s="7"/>
      <c r="X24" s="7">
        <f>+'National States'!Q60</f>
        <v>21554893</v>
      </c>
      <c r="Y24" s="7">
        <f>+'National States'!R60</f>
        <v>0</v>
      </c>
      <c r="Z24" s="7"/>
      <c r="AA24" s="7">
        <f>+'National States'!T60</f>
        <v>0</v>
      </c>
      <c r="AB24" s="17">
        <f>+'National States'!U60</f>
        <v>0</v>
      </c>
    </row>
    <row r="25" spans="2:28">
      <c r="B25" s="8" t="s">
        <v>213</v>
      </c>
      <c r="C25" s="129" t="s">
        <v>214</v>
      </c>
      <c r="D25" s="28" t="s">
        <v>215</v>
      </c>
      <c r="E25" s="41">
        <v>41355</v>
      </c>
      <c r="F25" s="41">
        <v>41365</v>
      </c>
      <c r="G25" s="53" t="s">
        <v>391</v>
      </c>
      <c r="H25" s="7">
        <f>+'Universal Health Care'!B60</f>
        <v>0</v>
      </c>
      <c r="I25" s="7">
        <f>+'Universal Health Care'!C60</f>
        <v>0</v>
      </c>
      <c r="J25" s="7">
        <f>+'Universal Health Care'!D60</f>
        <v>383406.32</v>
      </c>
      <c r="K25" s="7">
        <f>+'Universal Health Care'!E60</f>
        <v>0</v>
      </c>
      <c r="L25" s="7">
        <f t="shared" si="1"/>
        <v>383406.32</v>
      </c>
      <c r="M25" s="17"/>
      <c r="N25" s="7">
        <v>220658.87</v>
      </c>
      <c r="O25" s="17">
        <f t="shared" si="2"/>
        <v>162747.45000000001</v>
      </c>
      <c r="R25" s="10">
        <f>+'Universal Health Care'!K60</f>
        <v>0</v>
      </c>
      <c r="S25" s="7">
        <f>+'Universal Health Care'!L60</f>
        <v>0</v>
      </c>
      <c r="T25" s="7"/>
      <c r="U25" s="7">
        <f>+'Universal Health Care'!N60</f>
        <v>0</v>
      </c>
      <c r="V25" s="7">
        <f>+'Universal Health Care'!O60</f>
        <v>0</v>
      </c>
      <c r="W25" s="7"/>
      <c r="X25" s="7">
        <f>+'Universal Health Care'!Q60</f>
        <v>0</v>
      </c>
      <c r="Y25" s="7">
        <f>+'Universal Health Care'!R60</f>
        <v>0</v>
      </c>
      <c r="Z25" s="7"/>
      <c r="AA25" s="7">
        <f>+'Universal Health Care'!T60</f>
        <v>0</v>
      </c>
      <c r="AB25" s="17">
        <f>+'Universal Health Care'!U60</f>
        <v>0</v>
      </c>
    </row>
    <row r="26" spans="2:28">
      <c r="B26" s="8" t="s">
        <v>217</v>
      </c>
      <c r="C26" s="129" t="s">
        <v>218</v>
      </c>
      <c r="D26" s="28" t="s">
        <v>190</v>
      </c>
      <c r="E26" s="41">
        <v>39927</v>
      </c>
      <c r="F26" s="41">
        <v>40303</v>
      </c>
      <c r="G26" s="58"/>
      <c r="H26" s="7">
        <f>+'Universal Life'!B60</f>
        <v>9904170.9185847789</v>
      </c>
      <c r="I26" s="7">
        <f>+'Universal Life'!C60</f>
        <v>0</v>
      </c>
      <c r="J26" s="7">
        <f>+'Universal Life'!D60</f>
        <v>3775.8854152206259</v>
      </c>
      <c r="K26" s="7">
        <f>+'Universal Life'!E60</f>
        <v>0</v>
      </c>
      <c r="L26" s="7">
        <f t="shared" si="1"/>
        <v>9907946.8039999995</v>
      </c>
      <c r="M26" s="17"/>
      <c r="N26" s="7">
        <v>10469951.684</v>
      </c>
      <c r="O26" s="17">
        <f t="shared" si="2"/>
        <v>-562004.88000000082</v>
      </c>
      <c r="R26" s="10">
        <f>+'Universal Life'!K60</f>
        <v>224994</v>
      </c>
      <c r="S26" s="7">
        <f>+'Universal Life'!L60</f>
        <v>0</v>
      </c>
      <c r="T26" s="7"/>
      <c r="U26" s="7">
        <f>+'Universal Life'!N60</f>
        <v>0</v>
      </c>
      <c r="V26" s="7">
        <f>+'Universal Life'!O60</f>
        <v>0</v>
      </c>
      <c r="W26" s="7"/>
      <c r="X26" s="7">
        <f>+'Universal Life'!Q60</f>
        <v>0</v>
      </c>
      <c r="Y26" s="7">
        <f>+'Universal Life'!R60</f>
        <v>0</v>
      </c>
      <c r="Z26" s="7"/>
      <c r="AA26" s="7">
        <f>+'Universal Life'!T60</f>
        <v>0</v>
      </c>
      <c r="AB26" s="17">
        <f>+'Universal Life'!U60</f>
        <v>0</v>
      </c>
    </row>
    <row r="27" spans="2:28" ht="6.95" customHeight="1" thickBot="1">
      <c r="B27" s="8"/>
      <c r="C27" s="129"/>
      <c r="D27" s="28"/>
      <c r="E27" s="41"/>
      <c r="F27" s="41"/>
      <c r="G27" s="58"/>
      <c r="H27" s="7"/>
      <c r="I27" s="7"/>
      <c r="J27" s="7"/>
      <c r="K27" s="7"/>
      <c r="L27" s="7"/>
      <c r="M27" s="17"/>
      <c r="N27" s="7"/>
      <c r="O27" s="17"/>
      <c r="R27" s="10"/>
      <c r="S27" s="7"/>
      <c r="T27" s="7"/>
      <c r="U27" s="7"/>
      <c r="V27" s="7"/>
      <c r="W27" s="7"/>
      <c r="X27" s="7"/>
      <c r="Y27" s="7"/>
      <c r="Z27" s="7"/>
      <c r="AA27" s="7"/>
      <c r="AB27" s="17"/>
    </row>
    <row r="28" spans="2:28" ht="15.75" thickBot="1">
      <c r="B28" s="43" t="s">
        <v>219</v>
      </c>
      <c r="C28" s="130"/>
      <c r="D28" s="44"/>
      <c r="E28" s="45"/>
      <c r="F28" s="45"/>
      <c r="G28" s="59"/>
      <c r="H28" s="46">
        <f t="shared" ref="H28:O28" si="3">SUM(H15:H27)</f>
        <v>1627137017.7793653</v>
      </c>
      <c r="I28" s="46">
        <f t="shared" si="3"/>
        <v>2492855413.6947608</v>
      </c>
      <c r="J28" s="46">
        <f t="shared" si="3"/>
        <v>215370853.97801477</v>
      </c>
      <c r="K28" s="46">
        <f t="shared" si="3"/>
        <v>31574088.732868716</v>
      </c>
      <c r="L28" s="46">
        <f t="shared" si="3"/>
        <v>4366937374.18501</v>
      </c>
      <c r="M28" s="47"/>
      <c r="N28" s="46">
        <f t="shared" si="3"/>
        <v>4331258014.8092756</v>
      </c>
      <c r="O28" s="47">
        <f t="shared" si="3"/>
        <v>35679359.37573386</v>
      </c>
      <c r="R28" s="50">
        <f>SUM(R15:R27)</f>
        <v>1296260894</v>
      </c>
      <c r="S28" s="46">
        <f>SUM(S15:S27)</f>
        <v>500000</v>
      </c>
      <c r="T28" s="46"/>
      <c r="U28" s="46">
        <f>SUM(U15:U27)</f>
        <v>1344219422</v>
      </c>
      <c r="V28" s="46">
        <f>SUM(V15:V27)</f>
        <v>50963161.450000003</v>
      </c>
      <c r="W28" s="46"/>
      <c r="X28" s="46">
        <f>SUM(X15:X27)</f>
        <v>48896902</v>
      </c>
      <c r="Y28" s="46">
        <f>SUM(Y15:Y27)</f>
        <v>1131891</v>
      </c>
      <c r="Z28" s="46"/>
      <c r="AA28" s="46">
        <f>SUM(AA15:AA27)</f>
        <v>42365781</v>
      </c>
      <c r="AB28" s="47">
        <f>SUM(AB15:AB27)</f>
        <v>20669526.82</v>
      </c>
    </row>
    <row r="29" spans="2:28" ht="15.75" thickBot="1"/>
    <row r="30" spans="2:28">
      <c r="B30" s="42" t="s">
        <v>221</v>
      </c>
      <c r="C30" s="128"/>
      <c r="D30" s="27"/>
      <c r="E30" s="39"/>
      <c r="F30" s="39"/>
      <c r="G30" s="57"/>
      <c r="H30" s="40"/>
      <c r="I30" s="40"/>
      <c r="J30" s="40"/>
      <c r="K30" s="40"/>
      <c r="L30" s="40"/>
      <c r="M30" s="38"/>
      <c r="N30" s="40"/>
      <c r="O30" s="38"/>
      <c r="R30" s="48"/>
      <c r="S30" s="40"/>
      <c r="T30" s="40"/>
      <c r="U30" s="40"/>
      <c r="V30" s="40"/>
      <c r="W30" s="40"/>
      <c r="X30" s="40"/>
      <c r="Y30" s="40"/>
      <c r="Z30" s="40"/>
      <c r="AA30" s="40"/>
      <c r="AB30" s="38"/>
    </row>
    <row r="31" spans="2:28" ht="6.95" customHeight="1">
      <c r="B31" s="8"/>
      <c r="C31" s="129"/>
      <c r="D31" s="28"/>
      <c r="E31" s="41"/>
      <c r="F31" s="41"/>
      <c r="G31" s="58"/>
      <c r="H31" s="7"/>
      <c r="I31" s="7"/>
      <c r="J31" s="7"/>
      <c r="K31" s="7"/>
      <c r="L31" s="7"/>
      <c r="M31" s="17"/>
      <c r="N31" s="7"/>
      <c r="O31" s="17"/>
      <c r="R31" s="10"/>
      <c r="S31" s="7"/>
      <c r="T31" s="7"/>
      <c r="U31" s="7"/>
      <c r="V31" s="7"/>
      <c r="W31" s="7"/>
      <c r="X31" s="7"/>
      <c r="Y31" s="7"/>
      <c r="Z31" s="7"/>
      <c r="AA31" s="7"/>
      <c r="AB31" s="17"/>
    </row>
    <row r="32" spans="2:28">
      <c r="B32" s="8" t="s">
        <v>222</v>
      </c>
      <c r="C32" s="129" t="s">
        <v>223</v>
      </c>
      <c r="D32" s="28" t="s">
        <v>224</v>
      </c>
      <c r="E32" s="41">
        <v>33644</v>
      </c>
      <c r="F32" s="41">
        <v>34054</v>
      </c>
      <c r="G32" s="58"/>
      <c r="H32" s="7">
        <f>+'Andrew Jackson'!B60</f>
        <v>24386566.567199264</v>
      </c>
      <c r="I32" s="7">
        <f>+'Andrew Jackson'!C60</f>
        <v>6335475.4236363517</v>
      </c>
      <c r="J32" s="7">
        <f>+'Andrew Jackson'!D60</f>
        <v>75360.413392355302</v>
      </c>
      <c r="K32" s="7">
        <f>+'Andrew Jackson'!E60</f>
        <v>0</v>
      </c>
      <c r="L32" s="7">
        <f t="shared" ref="L32:L45" si="4">SUM(H32:K32)</f>
        <v>30797402.404227968</v>
      </c>
      <c r="M32" s="17"/>
      <c r="N32" s="7">
        <v>30794325.42422796</v>
      </c>
      <c r="O32" s="17">
        <f t="shared" ref="O32:O49" si="5">+L32-N32</f>
        <v>3076.9800000078976</v>
      </c>
      <c r="R32" s="10">
        <f>+'Andrew Jackson'!K60</f>
        <v>28735867</v>
      </c>
      <c r="S32" s="7">
        <f>+'Andrew Jackson'!L60</f>
        <v>280000</v>
      </c>
      <c r="T32" s="7"/>
      <c r="U32" s="7">
        <f>+'Andrew Jackson'!N60</f>
        <v>10977686</v>
      </c>
      <c r="V32" s="7">
        <f>+'Andrew Jackson'!O60</f>
        <v>50403.45</v>
      </c>
      <c r="W32" s="7"/>
      <c r="X32" s="7">
        <f>+'Andrew Jackson'!Q60</f>
        <v>0</v>
      </c>
      <c r="Y32" s="7">
        <f>+'Andrew Jackson'!R60</f>
        <v>0</v>
      </c>
      <c r="Z32" s="7"/>
      <c r="AA32" s="7">
        <f>+'Andrew Jackson'!T60</f>
        <v>3735647</v>
      </c>
      <c r="AB32" s="17">
        <f>+'Andrew Jackson'!U60</f>
        <v>0</v>
      </c>
    </row>
    <row r="33" spans="2:28">
      <c r="B33" s="8" t="s">
        <v>225</v>
      </c>
      <c r="C33" s="129" t="s">
        <v>226</v>
      </c>
      <c r="D33" s="28" t="s">
        <v>207</v>
      </c>
      <c r="E33" s="41">
        <v>39303</v>
      </c>
      <c r="F33" s="41">
        <v>39360</v>
      </c>
      <c r="G33" s="58"/>
      <c r="H33" s="7">
        <f>+Benicorp!B60</f>
        <v>13218.446897726946</v>
      </c>
      <c r="I33" s="7">
        <f>+Benicorp!C60</f>
        <v>0</v>
      </c>
      <c r="J33" s="7">
        <f>+Benicorp!D60</f>
        <v>29117678.407671355</v>
      </c>
      <c r="K33" s="7">
        <f>+Benicorp!E60</f>
        <v>0</v>
      </c>
      <c r="L33" s="7">
        <f t="shared" si="4"/>
        <v>29130896.854569081</v>
      </c>
      <c r="M33" s="17"/>
      <c r="N33" s="7">
        <v>29111695.764569063</v>
      </c>
      <c r="O33" s="17">
        <f t="shared" si="5"/>
        <v>19201.090000018477</v>
      </c>
      <c r="R33" s="10">
        <f>+Benicorp!K60</f>
        <v>0</v>
      </c>
      <c r="S33" s="7">
        <f>+Benicorp!L60</f>
        <v>0</v>
      </c>
      <c r="T33" s="7"/>
      <c r="U33" s="7">
        <f>+Benicorp!N60</f>
        <v>0</v>
      </c>
      <c r="V33" s="7">
        <f>+Benicorp!O60</f>
        <v>0</v>
      </c>
      <c r="W33" s="7"/>
      <c r="X33" s="7">
        <f>+Benicorp!Q60</f>
        <v>34703991</v>
      </c>
      <c r="Y33" s="7">
        <f>+Benicorp!R60</f>
        <v>0</v>
      </c>
      <c r="Z33" s="7"/>
      <c r="AA33" s="7">
        <f>+Benicorp!T60</f>
        <v>0</v>
      </c>
      <c r="AB33" s="17">
        <f>+Benicorp!U60</f>
        <v>0</v>
      </c>
    </row>
    <row r="34" spans="2:28">
      <c r="B34" s="8" t="s">
        <v>227</v>
      </c>
      <c r="C34" s="129" t="s">
        <v>228</v>
      </c>
      <c r="D34" s="28" t="s">
        <v>229</v>
      </c>
      <c r="E34" s="41">
        <v>35830</v>
      </c>
      <c r="F34" s="41">
        <v>35942</v>
      </c>
      <c r="G34" s="58"/>
      <c r="H34" s="7">
        <f>+Centennial!B60</f>
        <v>15763</v>
      </c>
      <c r="I34" s="7">
        <f>+Centennial!C60</f>
        <v>0</v>
      </c>
      <c r="J34" s="7">
        <f>+Centennial!D60</f>
        <v>67773.967558226796</v>
      </c>
      <c r="K34" s="7">
        <f>+Centennial!E60</f>
        <v>0</v>
      </c>
      <c r="L34" s="7">
        <f t="shared" si="4"/>
        <v>83536.967558226796</v>
      </c>
      <c r="M34" s="17"/>
      <c r="N34" s="7">
        <v>83536.967558226286</v>
      </c>
      <c r="O34" s="17">
        <f t="shared" si="5"/>
        <v>5.0931703299283981E-10</v>
      </c>
      <c r="R34" s="10">
        <f>+Centennial!K60</f>
        <v>793564</v>
      </c>
      <c r="S34" s="7">
        <f>+Centennial!L60</f>
        <v>687271</v>
      </c>
      <c r="T34" s="7"/>
      <c r="U34" s="7">
        <f>+Centennial!N60</f>
        <v>100000</v>
      </c>
      <c r="V34" s="7">
        <f>+Centennial!O60</f>
        <v>50000</v>
      </c>
      <c r="W34" s="7"/>
      <c r="X34" s="7">
        <f>+Centennial!Q60</f>
        <v>19664517</v>
      </c>
      <c r="Y34" s="7">
        <f>+Centennial!R60</f>
        <v>13362131</v>
      </c>
      <c r="Z34" s="7"/>
      <c r="AA34" s="7">
        <f>+Centennial!T60</f>
        <v>0</v>
      </c>
      <c r="AB34" s="17">
        <f>+Centennial!U60</f>
        <v>0</v>
      </c>
    </row>
    <row r="35" spans="2:28">
      <c r="B35" s="8" t="s">
        <v>230</v>
      </c>
      <c r="C35" s="129" t="s">
        <v>231</v>
      </c>
      <c r="D35" s="28" t="s">
        <v>224</v>
      </c>
      <c r="E35" s="41">
        <v>36290</v>
      </c>
      <c r="F35" s="41">
        <v>36340</v>
      </c>
      <c r="G35" s="58"/>
      <c r="H35" s="7">
        <f>+'Family Guaranty'!B60</f>
        <v>24943759.224309217</v>
      </c>
      <c r="I35" s="7">
        <f>+'Family Guaranty'!C60</f>
        <v>0</v>
      </c>
      <c r="J35" s="7">
        <f>+'Family Guaranty'!D60</f>
        <v>0</v>
      </c>
      <c r="K35" s="7">
        <f>+'Family Guaranty'!E60</f>
        <v>0</v>
      </c>
      <c r="L35" s="7">
        <f t="shared" si="4"/>
        <v>24943759.224309217</v>
      </c>
      <c r="M35" s="17"/>
      <c r="N35" s="7">
        <v>24937418.91811477</v>
      </c>
      <c r="O35" s="17">
        <f t="shared" si="5"/>
        <v>6340.306194446981</v>
      </c>
      <c r="R35" s="10">
        <f>+'Family Guaranty'!K60</f>
        <v>13800320</v>
      </c>
      <c r="S35" s="7">
        <f>+'Family Guaranty'!L60</f>
        <v>0</v>
      </c>
      <c r="T35" s="7"/>
      <c r="U35" s="7">
        <f>+'Family Guaranty'!N60</f>
        <v>4950590</v>
      </c>
      <c r="V35" s="7">
        <f>+'Family Guaranty'!O60</f>
        <v>0</v>
      </c>
      <c r="W35" s="7"/>
      <c r="X35" s="7">
        <f>+'Family Guaranty'!Q60</f>
        <v>0</v>
      </c>
      <c r="Y35" s="7">
        <f>+'Family Guaranty'!R60</f>
        <v>0</v>
      </c>
      <c r="Z35" s="7"/>
      <c r="AA35" s="7">
        <f>+'Family Guaranty'!T60</f>
        <v>1518800</v>
      </c>
      <c r="AB35" s="17">
        <f>+'Family Guaranty'!U60</f>
        <v>0</v>
      </c>
    </row>
    <row r="36" spans="2:28">
      <c r="B36" s="8" t="s">
        <v>232</v>
      </c>
      <c r="C36" s="129" t="s">
        <v>233</v>
      </c>
      <c r="D36" s="28" t="s">
        <v>234</v>
      </c>
      <c r="E36" s="41">
        <v>36292</v>
      </c>
      <c r="F36" s="41">
        <v>36539</v>
      </c>
      <c r="G36" s="58"/>
      <c r="H36" s="7">
        <f>+'Farmers &amp; Ranchers'!B60</f>
        <v>4710882.7731764968</v>
      </c>
      <c r="I36" s="7">
        <f>+'Farmers &amp; Ranchers'!C60</f>
        <v>4465010.0821429119</v>
      </c>
      <c r="J36" s="7">
        <f>+'Farmers &amp; Ranchers'!D60</f>
        <v>0</v>
      </c>
      <c r="K36" s="7">
        <f>+'Farmers &amp; Ranchers'!E60</f>
        <v>0</v>
      </c>
      <c r="L36" s="7">
        <f t="shared" si="4"/>
        <v>9175892.8553194087</v>
      </c>
      <c r="M36" s="17"/>
      <c r="N36" s="7">
        <v>9173214.6384797879</v>
      </c>
      <c r="O36" s="17">
        <f t="shared" si="5"/>
        <v>2678.2168396208435</v>
      </c>
      <c r="R36" s="10">
        <f>+'Farmers &amp; Ranchers'!K60</f>
        <v>7965000</v>
      </c>
      <c r="S36" s="7">
        <f>+'Farmers &amp; Ranchers'!L60</f>
        <v>3015000</v>
      </c>
      <c r="T36" s="7"/>
      <c r="U36" s="7">
        <f>+'Farmers &amp; Ranchers'!N60</f>
        <v>885000</v>
      </c>
      <c r="V36" s="7">
        <f>+'Farmers &amp; Ranchers'!O60</f>
        <v>335000</v>
      </c>
      <c r="W36" s="7"/>
      <c r="X36" s="7">
        <f>+'Farmers &amp; Ranchers'!Q60</f>
        <v>0</v>
      </c>
      <c r="Y36" s="7">
        <f>+'Farmers &amp; Ranchers'!R60</f>
        <v>0</v>
      </c>
      <c r="Z36" s="7"/>
      <c r="AA36" s="7">
        <f>+'Farmers &amp; Ranchers'!T60</f>
        <v>0</v>
      </c>
      <c r="AB36" s="17">
        <f>+'Farmers &amp; Ranchers'!U60</f>
        <v>0</v>
      </c>
    </row>
    <row r="37" spans="2:28">
      <c r="B37" s="8" t="s">
        <v>235</v>
      </c>
      <c r="C37" s="129" t="s">
        <v>236</v>
      </c>
      <c r="D37" s="28" t="s">
        <v>224</v>
      </c>
      <c r="E37" s="41">
        <v>36290</v>
      </c>
      <c r="F37" s="41">
        <v>36340</v>
      </c>
      <c r="G37" s="58"/>
      <c r="H37" s="7">
        <f>+'First Natl (Thrnr)'!B60</f>
        <v>2497707.8347464167</v>
      </c>
      <c r="I37" s="7">
        <f>+'First Natl (Thrnr)'!C60</f>
        <v>22587643.138010748</v>
      </c>
      <c r="J37" s="7">
        <f>+'First Natl (Thrnr)'!D60</f>
        <v>0</v>
      </c>
      <c r="K37" s="7">
        <f>+'First Natl (Thrnr)'!E60</f>
        <v>0</v>
      </c>
      <c r="L37" s="7">
        <f t="shared" si="4"/>
        <v>25085350.972757164</v>
      </c>
      <c r="M37" s="17"/>
      <c r="N37" s="7">
        <v>25067458.984408915</v>
      </c>
      <c r="O37" s="17">
        <f t="shared" si="5"/>
        <v>17891.988348249346</v>
      </c>
      <c r="R37" s="10">
        <f>+'First Natl (Thrnr)'!K60</f>
        <v>18270153</v>
      </c>
      <c r="S37" s="7">
        <f>+'First Natl (Thrnr)'!L60</f>
        <v>5669219</v>
      </c>
      <c r="T37" s="7"/>
      <c r="U37" s="7">
        <f>+'First Natl (Thrnr)'!N60</f>
        <v>18925424</v>
      </c>
      <c r="V37" s="7">
        <f>+'First Natl (Thrnr)'!O60</f>
        <v>1805281</v>
      </c>
      <c r="W37" s="7"/>
      <c r="X37" s="7">
        <f>+'First Natl (Thrnr)'!Q60</f>
        <v>0</v>
      </c>
      <c r="Y37" s="7">
        <f>+'First Natl (Thrnr)'!R60</f>
        <v>0</v>
      </c>
      <c r="Z37" s="7"/>
      <c r="AA37" s="7">
        <f>+'First Natl (Thrnr)'!T60</f>
        <v>0</v>
      </c>
      <c r="AB37" s="17">
        <f>+'First Natl (Thrnr)'!U60</f>
        <v>0</v>
      </c>
    </row>
    <row r="38" spans="2:28">
      <c r="B38" s="8" t="s">
        <v>237</v>
      </c>
      <c r="C38" s="129" t="s">
        <v>238</v>
      </c>
      <c r="D38" s="28" t="s">
        <v>239</v>
      </c>
      <c r="E38" s="41">
        <v>36291</v>
      </c>
      <c r="F38" s="41">
        <v>36459</v>
      </c>
      <c r="G38" s="58"/>
      <c r="H38" s="7">
        <f>+'Franklin American'!B60</f>
        <v>293374.09782924934</v>
      </c>
      <c r="I38" s="7">
        <f>+'Franklin American'!C60</f>
        <v>66120.491403632914</v>
      </c>
      <c r="J38" s="7">
        <f>+'Franklin American'!D60</f>
        <v>0</v>
      </c>
      <c r="K38" s="7">
        <f>+'Franklin American'!E60</f>
        <v>0</v>
      </c>
      <c r="L38" s="7">
        <f t="shared" si="4"/>
        <v>359494.58923288225</v>
      </c>
      <c r="M38" s="17"/>
      <c r="N38" s="7">
        <v>344792.52927066764</v>
      </c>
      <c r="O38" s="17">
        <f t="shared" si="5"/>
        <v>14702.059962214611</v>
      </c>
      <c r="R38" s="10">
        <f>+'Franklin American'!K60</f>
        <v>1242916</v>
      </c>
      <c r="S38" s="7">
        <f>+'Franklin American'!L60</f>
        <v>0</v>
      </c>
      <c r="T38" s="7"/>
      <c r="U38" s="7">
        <f>+'Franklin American'!N60</f>
        <v>89000</v>
      </c>
      <c r="V38" s="7">
        <f>+'Franklin American'!O60</f>
        <v>0</v>
      </c>
      <c r="W38" s="7"/>
      <c r="X38" s="7">
        <f>+'Franklin American'!Q60</f>
        <v>0</v>
      </c>
      <c r="Y38" s="7">
        <f>+'Franklin American'!R60</f>
        <v>0</v>
      </c>
      <c r="Z38" s="7"/>
      <c r="AA38" s="7">
        <f>+'Franklin American'!T60</f>
        <v>0</v>
      </c>
      <c r="AB38" s="17">
        <f>+'Franklin American'!U60</f>
        <v>0</v>
      </c>
    </row>
    <row r="39" spans="2:28">
      <c r="B39" s="8" t="s">
        <v>240</v>
      </c>
      <c r="C39" s="129" t="s">
        <v>241</v>
      </c>
      <c r="D39" s="28" t="s">
        <v>224</v>
      </c>
      <c r="E39" s="41">
        <v>36290</v>
      </c>
      <c r="F39" s="41">
        <v>36340</v>
      </c>
      <c r="G39" s="58"/>
      <c r="H39" s="7">
        <f>+'Franklin Protective'!B60</f>
        <v>12723696.447485525</v>
      </c>
      <c r="I39" s="7">
        <f>+'Franklin Protective'!C60</f>
        <v>3868450.2683535321</v>
      </c>
      <c r="J39" s="7">
        <f>+'Franklin Protective'!D60</f>
        <v>0</v>
      </c>
      <c r="K39" s="7">
        <f>+'Franklin Protective'!E60</f>
        <v>0</v>
      </c>
      <c r="L39" s="7">
        <f t="shared" si="4"/>
        <v>16592146.715839058</v>
      </c>
      <c r="M39" s="17"/>
      <c r="N39" s="7">
        <v>16587022.604128914</v>
      </c>
      <c r="O39" s="17">
        <f t="shared" si="5"/>
        <v>5124.1117101442069</v>
      </c>
      <c r="R39" s="10">
        <f>+'Franklin Protective'!K60</f>
        <v>5884152</v>
      </c>
      <c r="S39" s="7">
        <f>+'Franklin Protective'!L60</f>
        <v>0</v>
      </c>
      <c r="T39" s="7"/>
      <c r="U39" s="7">
        <f>+'Franklin Protective'!N60</f>
        <v>2082992</v>
      </c>
      <c r="V39" s="7">
        <f>+'Franklin Protective'!O60</f>
        <v>0</v>
      </c>
      <c r="W39" s="7"/>
      <c r="X39" s="7">
        <f>+'Franklin Protective'!Q60</f>
        <v>52921</v>
      </c>
      <c r="Y39" s="7">
        <f>+'Franklin Protective'!R60</f>
        <v>0</v>
      </c>
      <c r="Z39" s="7"/>
      <c r="AA39" s="7">
        <f>+'Franklin Protective'!T60</f>
        <v>0</v>
      </c>
      <c r="AB39" s="17">
        <f>+'Franklin Protective'!U60</f>
        <v>0</v>
      </c>
    </row>
    <row r="40" spans="2:28">
      <c r="B40" s="8" t="s">
        <v>242</v>
      </c>
      <c r="C40" s="129" t="s">
        <v>243</v>
      </c>
      <c r="D40" s="28" t="s">
        <v>193</v>
      </c>
      <c r="E40" s="41">
        <v>40353</v>
      </c>
      <c r="F40" s="41">
        <v>40571</v>
      </c>
      <c r="G40" s="58"/>
      <c r="H40" s="7">
        <f>+'Golden State'!B60</f>
        <v>1470271.915</v>
      </c>
      <c r="I40" s="7">
        <f>+'Golden State'!C60</f>
        <v>12328.5</v>
      </c>
      <c r="J40" s="7">
        <f>+'Golden State'!D60</f>
        <v>59498.78</v>
      </c>
      <c r="K40" s="7">
        <f>+'Golden State'!E60</f>
        <v>0</v>
      </c>
      <c r="L40" s="7">
        <f t="shared" si="4"/>
        <v>1542099.1950000001</v>
      </c>
      <c r="M40" s="17"/>
      <c r="N40" s="7">
        <v>1159769.071</v>
      </c>
      <c r="O40" s="17">
        <f t="shared" si="5"/>
        <v>382330.12400000007</v>
      </c>
      <c r="R40" s="10">
        <f>+'Golden State'!K60</f>
        <v>200000</v>
      </c>
      <c r="S40" s="7">
        <f>+'Golden State'!L60</f>
        <v>0</v>
      </c>
      <c r="T40" s="7"/>
      <c r="U40" s="7">
        <f>+'Golden State'!N60</f>
        <v>100000</v>
      </c>
      <c r="V40" s="7">
        <f>+'Golden State'!O60</f>
        <v>0</v>
      </c>
      <c r="W40" s="7"/>
      <c r="X40" s="7">
        <f>+'Golden State'!Q60</f>
        <v>0</v>
      </c>
      <c r="Y40" s="7">
        <f>+'Golden State'!R60</f>
        <v>0</v>
      </c>
      <c r="Z40" s="7"/>
      <c r="AA40" s="7">
        <f>+'Golden State'!T60</f>
        <v>0</v>
      </c>
      <c r="AB40" s="17">
        <f>+'Golden State'!U60</f>
        <v>0</v>
      </c>
    </row>
    <row r="41" spans="2:28">
      <c r="B41" s="8" t="s">
        <v>244</v>
      </c>
      <c r="C41" s="129" t="s">
        <v>245</v>
      </c>
      <c r="D41" s="28" t="s">
        <v>212</v>
      </c>
      <c r="E41" s="41">
        <v>36292</v>
      </c>
      <c r="F41" s="41">
        <v>36494</v>
      </c>
      <c r="G41" s="58"/>
      <c r="H41" s="7">
        <f>+'International Fin'!B60</f>
        <v>1127225.0864482422</v>
      </c>
      <c r="I41" s="7">
        <f>+'International Fin'!C60</f>
        <v>723139.63148158416</v>
      </c>
      <c r="J41" s="7">
        <f>+'International Fin'!D60</f>
        <v>0</v>
      </c>
      <c r="K41" s="7">
        <f>+'International Fin'!E60</f>
        <v>0</v>
      </c>
      <c r="L41" s="7">
        <f t="shared" si="4"/>
        <v>1850364.7179298264</v>
      </c>
      <c r="M41" s="17"/>
      <c r="N41" s="7">
        <v>1847318.4909844997</v>
      </c>
      <c r="O41" s="17">
        <f t="shared" si="5"/>
        <v>3046.2269453266636</v>
      </c>
      <c r="R41" s="10">
        <f>+'International Fin'!K60</f>
        <v>4602083</v>
      </c>
      <c r="S41" s="7">
        <f>+'International Fin'!L60</f>
        <v>3175000</v>
      </c>
      <c r="T41" s="7"/>
      <c r="U41" s="7">
        <f>+'International Fin'!N60</f>
        <v>277880</v>
      </c>
      <c r="V41" s="7">
        <f>+'International Fin'!O60</f>
        <v>0</v>
      </c>
      <c r="W41" s="7"/>
      <c r="X41" s="7">
        <f>+'International Fin'!Q60</f>
        <v>152528</v>
      </c>
      <c r="Y41" s="7">
        <f>+'International Fin'!R60</f>
        <v>125000</v>
      </c>
      <c r="Z41" s="7"/>
      <c r="AA41" s="7">
        <f>+'International Fin'!T60</f>
        <v>0</v>
      </c>
      <c r="AB41" s="17">
        <f>+'International Fin'!U60</f>
        <v>0</v>
      </c>
    </row>
    <row r="42" spans="2:28">
      <c r="B42" s="8" t="s">
        <v>246</v>
      </c>
      <c r="C42" s="129" t="s">
        <v>247</v>
      </c>
      <c r="D42" s="28" t="s">
        <v>248</v>
      </c>
      <c r="E42" s="41">
        <v>34509</v>
      </c>
      <c r="F42" s="41">
        <v>34697</v>
      </c>
      <c r="G42" s="58"/>
      <c r="H42" s="7">
        <f>+'Investors Equity'!B60</f>
        <v>0</v>
      </c>
      <c r="I42" s="7">
        <f>+'Investors Equity'!C60</f>
        <v>19626887.870000001</v>
      </c>
      <c r="J42" s="7">
        <f>+'Investors Equity'!D60</f>
        <v>0</v>
      </c>
      <c r="K42" s="7">
        <f>+'Investors Equity'!E60</f>
        <v>0</v>
      </c>
      <c r="L42" s="7">
        <f t="shared" si="4"/>
        <v>19626887.870000001</v>
      </c>
      <c r="M42" s="17"/>
      <c r="N42" s="7">
        <v>19626887.870000001</v>
      </c>
      <c r="O42" s="17">
        <f t="shared" si="5"/>
        <v>0</v>
      </c>
      <c r="R42" s="10">
        <f>+'Investors Equity'!K60</f>
        <v>27611280</v>
      </c>
      <c r="S42" s="7">
        <f>+'Investors Equity'!L60</f>
        <v>20999761</v>
      </c>
      <c r="T42" s="7"/>
      <c r="U42" s="7">
        <f>+'Investors Equity'!N60</f>
        <v>22525117</v>
      </c>
      <c r="V42" s="7">
        <f>+'Investors Equity'!O60</f>
        <v>11243274</v>
      </c>
      <c r="W42" s="7"/>
      <c r="X42" s="7">
        <f>+'Investors Equity'!Q60</f>
        <v>11732231</v>
      </c>
      <c r="Y42" s="7">
        <f>+'Investors Equity'!R60</f>
        <v>11500000</v>
      </c>
      <c r="Z42" s="7"/>
      <c r="AA42" s="7">
        <f>+'Investors Equity'!T60</f>
        <v>0</v>
      </c>
      <c r="AB42" s="17">
        <f>+'Investors Equity'!U60</f>
        <v>0</v>
      </c>
    </row>
    <row r="43" spans="2:28">
      <c r="B43" s="8" t="s">
        <v>249</v>
      </c>
      <c r="C43" s="129" t="s">
        <v>250</v>
      </c>
      <c r="D43" s="28" t="s">
        <v>173</v>
      </c>
      <c r="E43" s="41">
        <v>37343</v>
      </c>
      <c r="F43" s="41">
        <v>37830</v>
      </c>
      <c r="G43" s="58"/>
      <c r="H43" s="7">
        <f>+Legion!B60</f>
        <v>0</v>
      </c>
      <c r="I43" s="7">
        <f>+Legion!C60</f>
        <v>0</v>
      </c>
      <c r="J43" s="7">
        <f>+Legion!D60</f>
        <v>892802.29160067695</v>
      </c>
      <c r="K43" s="7">
        <f>+Legion!E60</f>
        <v>0</v>
      </c>
      <c r="L43" s="7">
        <f t="shared" si="4"/>
        <v>892802.29160067695</v>
      </c>
      <c r="M43" s="17"/>
      <c r="N43" s="7">
        <v>1131070.4455831491</v>
      </c>
      <c r="O43" s="17">
        <f t="shared" si="5"/>
        <v>-238268.15398247214</v>
      </c>
      <c r="R43" s="10">
        <f>+Legion!K60</f>
        <v>0</v>
      </c>
      <c r="S43" s="7">
        <f>+Legion!L60</f>
        <v>0</v>
      </c>
      <c r="T43" s="7"/>
      <c r="U43" s="7">
        <f>+Legion!N60</f>
        <v>0</v>
      </c>
      <c r="V43" s="7">
        <f>+Legion!O60</f>
        <v>0</v>
      </c>
      <c r="W43" s="7"/>
      <c r="X43" s="7">
        <f>+Legion!Q60</f>
        <v>584325</v>
      </c>
      <c r="Y43" s="7">
        <f>+Legion!R60</f>
        <v>0</v>
      </c>
      <c r="Z43" s="7"/>
      <c r="AA43" s="7">
        <f>+Legion!T60</f>
        <v>0</v>
      </c>
      <c r="AB43" s="17">
        <f>+Legion!U60</f>
        <v>0</v>
      </c>
    </row>
    <row r="44" spans="2:28">
      <c r="B44" s="8" t="s">
        <v>251</v>
      </c>
      <c r="C44" s="129" t="s">
        <v>252</v>
      </c>
      <c r="D44" s="28" t="s">
        <v>253</v>
      </c>
      <c r="E44" s="41">
        <v>41092</v>
      </c>
      <c r="F44" s="41">
        <v>41402</v>
      </c>
      <c r="G44" s="58"/>
      <c r="H44" s="7">
        <f>+Lumbermens!B60</f>
        <v>0</v>
      </c>
      <c r="I44" s="7">
        <f>+Lumbermens!C60</f>
        <v>0</v>
      </c>
      <c r="J44" s="7">
        <f>+Lumbermens!D60</f>
        <v>15542479.536605306</v>
      </c>
      <c r="K44" s="7">
        <f>+Lumbermens!E60</f>
        <v>0</v>
      </c>
      <c r="L44" s="7">
        <f t="shared" si="4"/>
        <v>15542479.536605306</v>
      </c>
      <c r="M44" s="17"/>
      <c r="N44" s="7">
        <v>0</v>
      </c>
      <c r="O44" s="17">
        <f t="shared" si="5"/>
        <v>15542479.536605306</v>
      </c>
      <c r="R44" s="10">
        <f>+Lumbermens!K60</f>
        <v>0</v>
      </c>
      <c r="S44" s="7">
        <f>+Lumbermens!L60</f>
        <v>0</v>
      </c>
      <c r="T44" s="7"/>
      <c r="U44" s="7">
        <f>+Lumbermens!N60</f>
        <v>0</v>
      </c>
      <c r="V44" s="7">
        <f>+Lumbermens!O60</f>
        <v>0</v>
      </c>
      <c r="W44" s="7"/>
      <c r="X44" s="7">
        <f>+Lumbermens!Q60</f>
        <v>0</v>
      </c>
      <c r="Y44" s="7">
        <f>+Lumbermens!R60</f>
        <v>0</v>
      </c>
      <c r="Z44" s="7"/>
      <c r="AA44" s="7">
        <f>+Lumbermens!T60</f>
        <v>0</v>
      </c>
      <c r="AB44" s="17">
        <f>+Lumbermens!U60</f>
        <v>0</v>
      </c>
    </row>
    <row r="45" spans="2:28">
      <c r="B45" s="8" t="s">
        <v>254</v>
      </c>
      <c r="C45" s="129" t="s">
        <v>255</v>
      </c>
      <c r="D45" s="28" t="s">
        <v>256</v>
      </c>
      <c r="E45" s="41">
        <v>34479</v>
      </c>
      <c r="F45" s="41">
        <v>35024</v>
      </c>
      <c r="G45" s="58"/>
      <c r="H45" s="7">
        <f>+'National Heritage'!B60</f>
        <v>5554751.2791944286</v>
      </c>
      <c r="I45" s="7">
        <f>+'National Heritage'!C60</f>
        <v>147157743.54414713</v>
      </c>
      <c r="J45" s="7">
        <f>+'National Heritage'!D60</f>
        <v>0</v>
      </c>
      <c r="K45" s="7">
        <f>+'National Heritage'!E60</f>
        <v>0</v>
      </c>
      <c r="L45" s="7">
        <f t="shared" si="4"/>
        <v>152712494.82334155</v>
      </c>
      <c r="M45" s="17"/>
      <c r="N45" s="7">
        <v>152689090.77334154</v>
      </c>
      <c r="O45" s="17">
        <f t="shared" si="5"/>
        <v>23404.050000011921</v>
      </c>
      <c r="R45" s="10">
        <f>+'National Heritage'!K60</f>
        <v>13267750</v>
      </c>
      <c r="S45" s="7">
        <f>+'National Heritage'!L60</f>
        <v>252755.48813199997</v>
      </c>
      <c r="T45" s="7"/>
      <c r="U45" s="7">
        <f>+'National Heritage'!N60</f>
        <v>236361567</v>
      </c>
      <c r="V45" s="7">
        <f>+'National Heritage'!O60</f>
        <v>21694354.321868002</v>
      </c>
      <c r="W45" s="7"/>
      <c r="X45" s="7">
        <f>+'National Heritage'!Q60</f>
        <v>0</v>
      </c>
      <c r="Y45" s="7">
        <f>+'National Heritage'!R60</f>
        <v>0</v>
      </c>
      <c r="Z45" s="7"/>
      <c r="AA45" s="7">
        <f>+'National Heritage'!T60</f>
        <v>2585649</v>
      </c>
      <c r="AB45" s="17">
        <f>+'National Heritage'!U60</f>
        <v>0</v>
      </c>
    </row>
    <row r="46" spans="2:28">
      <c r="B46" s="8" t="s">
        <v>257</v>
      </c>
      <c r="C46" s="129" t="s">
        <v>258</v>
      </c>
      <c r="D46" s="28" t="s">
        <v>259</v>
      </c>
      <c r="E46" s="41">
        <v>38048</v>
      </c>
      <c r="F46" s="41">
        <v>39918</v>
      </c>
      <c r="G46" s="58"/>
      <c r="H46" s="154" t="s">
        <v>392</v>
      </c>
      <c r="I46" s="154"/>
      <c r="J46" s="154"/>
      <c r="K46" s="154"/>
      <c r="L46" s="7">
        <v>0</v>
      </c>
      <c r="M46" s="17"/>
      <c r="N46" s="7">
        <v>0</v>
      </c>
      <c r="O46" s="17">
        <f t="shared" si="5"/>
        <v>0</v>
      </c>
      <c r="R46" s="10"/>
      <c r="S46" s="7"/>
      <c r="T46" s="7"/>
      <c r="U46" s="7"/>
      <c r="V46" s="7"/>
      <c r="W46" s="7"/>
      <c r="X46" s="7"/>
      <c r="Y46" s="7"/>
      <c r="Z46" s="7"/>
      <c r="AA46" s="7"/>
      <c r="AB46" s="17"/>
    </row>
    <row r="47" spans="2:28">
      <c r="B47" s="8" t="s">
        <v>260</v>
      </c>
      <c r="C47" s="129" t="s">
        <v>261</v>
      </c>
      <c r="D47" s="28" t="s">
        <v>173</v>
      </c>
      <c r="E47" s="41">
        <v>37040</v>
      </c>
      <c r="F47" s="41">
        <v>37167</v>
      </c>
      <c r="G47" s="58"/>
      <c r="H47" s="7">
        <f>+Reliance!B60</f>
        <v>0</v>
      </c>
      <c r="I47" s="7">
        <f>+Reliance!C60</f>
        <v>0</v>
      </c>
      <c r="J47" s="7">
        <f>+Reliance!D60</f>
        <v>13901518.814999999</v>
      </c>
      <c r="K47" s="7">
        <f>+Reliance!E60</f>
        <v>0</v>
      </c>
      <c r="L47" s="7">
        <f>SUM(H47:K47)</f>
        <v>13901518.814999999</v>
      </c>
      <c r="M47" s="17"/>
      <c r="N47" s="7">
        <v>13899267.334999999</v>
      </c>
      <c r="O47" s="17">
        <f t="shared" si="5"/>
        <v>2251.480000000447</v>
      </c>
      <c r="R47" s="10">
        <f>+Reliance!K60</f>
        <v>151260</v>
      </c>
      <c r="S47" s="7">
        <f>+Reliance!L60</f>
        <v>0</v>
      </c>
      <c r="T47" s="7"/>
      <c r="U47" s="7">
        <f>+Reliance!N60</f>
        <v>0</v>
      </c>
      <c r="V47" s="7">
        <f>+Reliance!O60</f>
        <v>0</v>
      </c>
      <c r="W47" s="7"/>
      <c r="X47" s="7">
        <f>+Reliance!Q60</f>
        <v>6470687</v>
      </c>
      <c r="Y47" s="7">
        <f>+Reliance!R60</f>
        <v>0</v>
      </c>
      <c r="Z47" s="7"/>
      <c r="AA47" s="7">
        <f>+Reliance!T60</f>
        <v>0</v>
      </c>
      <c r="AB47" s="17">
        <f>+Reliance!U60</f>
        <v>0</v>
      </c>
    </row>
    <row r="48" spans="2:28">
      <c r="B48" s="8" t="s">
        <v>262</v>
      </c>
      <c r="C48" s="129" t="s">
        <v>263</v>
      </c>
      <c r="D48" s="28" t="s">
        <v>207</v>
      </c>
      <c r="E48" s="41">
        <v>39800</v>
      </c>
      <c r="F48" s="41">
        <v>41116</v>
      </c>
      <c r="G48" s="58"/>
      <c r="H48" s="7">
        <f>+'Standard Life IN'!B60</f>
        <v>0</v>
      </c>
      <c r="I48" s="7">
        <f>+'Standard Life IN'!C60</f>
        <v>2896866.560000001</v>
      </c>
      <c r="J48" s="7">
        <f>+'Standard Life IN'!D60</f>
        <v>0</v>
      </c>
      <c r="K48" s="7">
        <f>+'Standard Life IN'!E60</f>
        <v>0</v>
      </c>
      <c r="L48" s="7">
        <f>SUM(H48:K48)</f>
        <v>2896866.560000001</v>
      </c>
      <c r="M48" s="17"/>
      <c r="N48" s="7">
        <v>2821100.1799999992</v>
      </c>
      <c r="O48" s="17">
        <f t="shared" si="5"/>
        <v>75766.380000001751</v>
      </c>
      <c r="R48" s="10">
        <f>+'Standard Life IN'!K60</f>
        <v>0</v>
      </c>
      <c r="S48" s="7">
        <f>+'Standard Life IN'!L60</f>
        <v>0</v>
      </c>
      <c r="T48" s="7"/>
      <c r="U48" s="7">
        <f>+'Standard Life IN'!N60</f>
        <v>40000</v>
      </c>
      <c r="V48" s="7">
        <f>+'Standard Life IN'!O60</f>
        <v>0</v>
      </c>
      <c r="W48" s="7"/>
      <c r="X48" s="7">
        <f>+'Standard Life IN'!Q60</f>
        <v>0</v>
      </c>
      <c r="Y48" s="7">
        <f>+'Standard Life IN'!R60</f>
        <v>0</v>
      </c>
      <c r="Z48" s="7"/>
      <c r="AA48" s="7">
        <f>+'Standard Life IN'!T60</f>
        <v>0</v>
      </c>
      <c r="AB48" s="17">
        <f>+'Standard Life IN'!U60</f>
        <v>0</v>
      </c>
    </row>
    <row r="49" spans="2:28">
      <c r="B49" s="8" t="s">
        <v>264</v>
      </c>
      <c r="C49" s="129" t="s">
        <v>265</v>
      </c>
      <c r="D49" s="28" t="s">
        <v>173</v>
      </c>
      <c r="E49" s="41">
        <v>37343</v>
      </c>
      <c r="F49" s="41">
        <v>37830</v>
      </c>
      <c r="G49" s="58"/>
      <c r="H49" s="7">
        <f>+Villanova!B60</f>
        <v>0</v>
      </c>
      <c r="I49" s="7">
        <f>+Villanova!C60</f>
        <v>0</v>
      </c>
      <c r="J49" s="7">
        <f>+Villanova!D60</f>
        <v>25234.447472091433</v>
      </c>
      <c r="K49" s="7">
        <f>+Villanova!E60</f>
        <v>0</v>
      </c>
      <c r="L49" s="7">
        <f>SUM(H49:K49)</f>
        <v>25234.447472091433</v>
      </c>
      <c r="M49" s="17"/>
      <c r="N49" s="7">
        <v>24473.183489619543</v>
      </c>
      <c r="O49" s="17">
        <f t="shared" si="5"/>
        <v>761.2639824718899</v>
      </c>
      <c r="R49" s="10">
        <f>+Villanova!K60</f>
        <v>0</v>
      </c>
      <c r="S49" s="7">
        <f>+Villanova!L60</f>
        <v>170000</v>
      </c>
      <c r="T49" s="7"/>
      <c r="U49" s="7">
        <f>+Villanova!N60</f>
        <v>0</v>
      </c>
      <c r="V49" s="7">
        <f>+Villanova!O60</f>
        <v>0</v>
      </c>
      <c r="W49" s="7"/>
      <c r="X49" s="7">
        <f>+Villanova!Q60</f>
        <v>400000</v>
      </c>
      <c r="Y49" s="7">
        <f>+Villanova!R60</f>
        <v>0</v>
      </c>
      <c r="Z49" s="7"/>
      <c r="AA49" s="7">
        <f>+Villanova!T60</f>
        <v>0</v>
      </c>
      <c r="AB49" s="17">
        <f>+Villanova!U60</f>
        <v>0</v>
      </c>
    </row>
    <row r="50" spans="2:28" ht="6.95" customHeight="1" thickBot="1">
      <c r="B50" s="8"/>
      <c r="C50" s="129"/>
      <c r="D50" s="28"/>
      <c r="E50" s="41"/>
      <c r="F50" s="41"/>
      <c r="G50" s="58"/>
      <c r="H50" s="7"/>
      <c r="I50" s="7"/>
      <c r="J50" s="7"/>
      <c r="K50" s="7"/>
      <c r="L50" s="7"/>
      <c r="M50" s="17"/>
      <c r="N50" s="7"/>
      <c r="O50" s="17"/>
      <c r="R50" s="10"/>
      <c r="S50" s="7"/>
      <c r="T50" s="7"/>
      <c r="U50" s="7"/>
      <c r="V50" s="7"/>
      <c r="W50" s="7"/>
      <c r="X50" s="7"/>
      <c r="Y50" s="7"/>
      <c r="Z50" s="7"/>
      <c r="AA50" s="7"/>
      <c r="AB50" s="17"/>
    </row>
    <row r="51" spans="2:28" ht="15.75" thickBot="1">
      <c r="B51" s="43" t="s">
        <v>266</v>
      </c>
      <c r="C51" s="130"/>
      <c r="D51" s="44"/>
      <c r="E51" s="45"/>
      <c r="F51" s="45"/>
      <c r="G51" s="59"/>
      <c r="H51" s="46">
        <f t="shared" ref="H51:O51" si="6">SUM(H31:H50)</f>
        <v>77737216.67228657</v>
      </c>
      <c r="I51" s="46">
        <f t="shared" si="6"/>
        <v>207739665.5091759</v>
      </c>
      <c r="J51" s="46">
        <f t="shared" si="6"/>
        <v>59682346.659300007</v>
      </c>
      <c r="K51" s="46">
        <f t="shared" si="6"/>
        <v>0</v>
      </c>
      <c r="L51" s="46">
        <f t="shared" si="6"/>
        <v>345159228.8407625</v>
      </c>
      <c r="M51" s="47"/>
      <c r="N51" s="46">
        <f t="shared" si="6"/>
        <v>329298443.18015712</v>
      </c>
      <c r="O51" s="47">
        <f t="shared" si="6"/>
        <v>15860785.660605349</v>
      </c>
      <c r="R51" s="50">
        <f>SUM(R31:R50)</f>
        <v>122524345</v>
      </c>
      <c r="S51" s="46">
        <f>SUM(S31:S50)</f>
        <v>34249006.488132</v>
      </c>
      <c r="T51" s="46"/>
      <c r="U51" s="46">
        <f>SUM(U31:U50)</f>
        <v>297315256</v>
      </c>
      <c r="V51" s="46">
        <f>SUM(V31:V50)</f>
        <v>35178312.771868005</v>
      </c>
      <c r="W51" s="46"/>
      <c r="X51" s="46">
        <f>SUM(X31:X50)</f>
        <v>73761200</v>
      </c>
      <c r="Y51" s="46">
        <f>SUM(Y31:Y50)</f>
        <v>24987131</v>
      </c>
      <c r="Z51" s="46"/>
      <c r="AA51" s="46">
        <f>SUM(AA31:AA50)</f>
        <v>7840096</v>
      </c>
      <c r="AB51" s="47">
        <f>SUM(AB31:AB50)</f>
        <v>0</v>
      </c>
    </row>
    <row r="52" spans="2:28" ht="15.75" thickBot="1"/>
    <row r="53" spans="2:28">
      <c r="B53" s="42" t="s">
        <v>268</v>
      </c>
      <c r="C53" s="128"/>
      <c r="D53" s="27"/>
      <c r="E53" s="39"/>
      <c r="F53" s="39"/>
      <c r="G53" s="57"/>
      <c r="H53" s="40"/>
      <c r="I53" s="40"/>
      <c r="J53" s="40"/>
      <c r="K53" s="40"/>
      <c r="L53" s="40"/>
      <c r="M53" s="38"/>
      <c r="N53" s="40"/>
      <c r="O53" s="38"/>
      <c r="R53" s="48"/>
      <c r="S53" s="40"/>
      <c r="T53" s="40"/>
      <c r="U53" s="40"/>
      <c r="V53" s="40"/>
      <c r="W53" s="40"/>
      <c r="X53" s="40"/>
      <c r="Y53" s="40"/>
      <c r="Z53" s="40"/>
      <c r="AA53" s="40"/>
      <c r="AB53" s="38"/>
    </row>
    <row r="54" spans="2:28" ht="6.95" customHeight="1">
      <c r="B54" s="8"/>
      <c r="C54" s="129"/>
      <c r="D54" s="28"/>
      <c r="E54" s="41"/>
      <c r="F54" s="41"/>
      <c r="G54" s="58"/>
      <c r="H54" s="7"/>
      <c r="I54" s="7"/>
      <c r="J54" s="7"/>
      <c r="K54" s="7"/>
      <c r="L54" s="7"/>
      <c r="M54" s="17"/>
      <c r="N54" s="7"/>
      <c r="O54" s="17"/>
      <c r="R54" s="10"/>
      <c r="S54" s="7"/>
      <c r="T54" s="7"/>
      <c r="U54" s="7"/>
      <c r="V54" s="7"/>
      <c r="W54" s="7"/>
      <c r="X54" s="7"/>
      <c r="Y54" s="7"/>
      <c r="Z54" s="7"/>
      <c r="AA54" s="7"/>
      <c r="AB54" s="17"/>
    </row>
    <row r="55" spans="2:28">
      <c r="B55" s="8" t="s">
        <v>269</v>
      </c>
      <c r="C55" s="129" t="s">
        <v>270</v>
      </c>
      <c r="D55" s="28" t="s">
        <v>190</v>
      </c>
      <c r="E55" s="41">
        <v>34305</v>
      </c>
      <c r="F55" s="41">
        <v>34614</v>
      </c>
      <c r="G55" s="58">
        <v>37431</v>
      </c>
      <c r="H55" s="7">
        <f>+'Alabama Life'!B60</f>
        <v>2132766.5371148046</v>
      </c>
      <c r="I55" s="7">
        <f>+'Alabama Life'!C60</f>
        <v>1167729.204930902</v>
      </c>
      <c r="J55" s="7">
        <f>+'Alabama Life'!D60</f>
        <v>10255.534620960145</v>
      </c>
      <c r="K55" s="7">
        <f>+'Alabama Life'!E60</f>
        <v>0</v>
      </c>
      <c r="L55" s="7">
        <f t="shared" ref="L55:L77" si="7">SUM(H55:K55)</f>
        <v>3310751.2766666668</v>
      </c>
      <c r="M55" s="17"/>
      <c r="N55" s="7">
        <v>3310751.2766666668</v>
      </c>
      <c r="O55" s="17">
        <f t="shared" ref="O55:O96" si="8">+L55-N55</f>
        <v>0</v>
      </c>
      <c r="R55" s="10">
        <f>+'Alabama Life'!K60</f>
        <v>2800000</v>
      </c>
      <c r="S55" s="7">
        <f>+'Alabama Life'!L60</f>
        <v>0</v>
      </c>
      <c r="T55" s="7"/>
      <c r="U55" s="7">
        <f>+'Alabama Life'!N60</f>
        <v>568170</v>
      </c>
      <c r="V55" s="7">
        <f>+'Alabama Life'!O60</f>
        <v>0</v>
      </c>
      <c r="W55" s="7"/>
      <c r="X55" s="7">
        <f>+'Alabama Life'!Q60</f>
        <v>13000</v>
      </c>
      <c r="Y55" s="7">
        <f>+'Alabama Life'!R60</f>
        <v>0</v>
      </c>
      <c r="Z55" s="7"/>
      <c r="AA55" s="7">
        <f>+'Alabama Life'!T60</f>
        <v>0</v>
      </c>
      <c r="AB55" s="17">
        <f>+'Alabama Life'!U60</f>
        <v>0</v>
      </c>
    </row>
    <row r="56" spans="2:28">
      <c r="B56" s="8" t="s">
        <v>271</v>
      </c>
      <c r="C56" s="129" t="s">
        <v>272</v>
      </c>
      <c r="D56" s="28" t="s">
        <v>273</v>
      </c>
      <c r="E56" s="41">
        <v>36598</v>
      </c>
      <c r="F56" s="41">
        <v>36654</v>
      </c>
      <c r="G56" s="58">
        <v>41575</v>
      </c>
      <c r="H56" s="7">
        <f>+'American Chambers'!B60</f>
        <v>79535.378426677606</v>
      </c>
      <c r="I56" s="7">
        <f>+'American Chambers'!C60</f>
        <v>0</v>
      </c>
      <c r="J56" s="7">
        <f>+'American Chambers'!D60</f>
        <v>26352690.316211332</v>
      </c>
      <c r="K56" s="7">
        <f>+'American Chambers'!E60</f>
        <v>0</v>
      </c>
      <c r="L56" s="7">
        <f t="shared" si="7"/>
        <v>26432225.69463801</v>
      </c>
      <c r="M56" s="17"/>
      <c r="N56" s="7">
        <v>33545513.300000008</v>
      </c>
      <c r="O56" s="17">
        <f t="shared" si="8"/>
        <v>-7113287.6053619981</v>
      </c>
      <c r="R56" s="10">
        <f>+'American Chambers'!K60</f>
        <v>253143</v>
      </c>
      <c r="S56" s="7">
        <f>+'American Chambers'!L60</f>
        <v>4500</v>
      </c>
      <c r="T56" s="7"/>
      <c r="U56" s="7">
        <f>+'American Chambers'!N60</f>
        <v>0</v>
      </c>
      <c r="V56" s="7">
        <f>+'American Chambers'!O60</f>
        <v>0</v>
      </c>
      <c r="W56" s="7"/>
      <c r="X56" s="7">
        <f>+'American Chambers'!Q60</f>
        <v>58771774</v>
      </c>
      <c r="Y56" s="7">
        <f>+'American Chambers'!R60</f>
        <v>6220517</v>
      </c>
      <c r="Z56" s="7"/>
      <c r="AA56" s="7">
        <f>+'American Chambers'!T60</f>
        <v>0</v>
      </c>
      <c r="AB56" s="17">
        <f>+'American Chambers'!U60</f>
        <v>0</v>
      </c>
    </row>
    <row r="57" spans="2:28">
      <c r="B57" s="8" t="s">
        <v>274</v>
      </c>
      <c r="C57" s="129" t="s">
        <v>275</v>
      </c>
      <c r="D57" s="28" t="s">
        <v>190</v>
      </c>
      <c r="E57" s="41">
        <v>34305</v>
      </c>
      <c r="F57" s="41">
        <v>34557</v>
      </c>
      <c r="G57" s="58">
        <v>37307</v>
      </c>
      <c r="H57" s="7">
        <f>+'American Educators'!B60</f>
        <v>227420.69281318595</v>
      </c>
      <c r="I57" s="7">
        <f>+'American Educators'!C60</f>
        <v>4589001.6625603698</v>
      </c>
      <c r="J57" s="7">
        <f>+'American Educators'!D60</f>
        <v>109734.76129311165</v>
      </c>
      <c r="K57" s="7">
        <f>+'American Educators'!E60</f>
        <v>0</v>
      </c>
      <c r="L57" s="7">
        <f t="shared" si="7"/>
        <v>4926157.1166666672</v>
      </c>
      <c r="M57" s="17"/>
      <c r="N57" s="7">
        <v>4926157.1166666672</v>
      </c>
      <c r="O57" s="17">
        <f t="shared" si="8"/>
        <v>0</v>
      </c>
      <c r="R57" s="10">
        <f>+'American Educators'!K60</f>
        <v>19024</v>
      </c>
      <c r="S57" s="7">
        <f>+'American Educators'!L60</f>
        <v>0</v>
      </c>
      <c r="T57" s="7"/>
      <c r="U57" s="7">
        <f>+'American Educators'!N60</f>
        <v>284983</v>
      </c>
      <c r="V57" s="7">
        <f>+'American Educators'!O60</f>
        <v>1409.23</v>
      </c>
      <c r="W57" s="7"/>
      <c r="X57" s="7">
        <f>+'American Educators'!Q60</f>
        <v>7000</v>
      </c>
      <c r="Y57" s="7">
        <f>+'American Educators'!R60</f>
        <v>0</v>
      </c>
      <c r="Z57" s="7"/>
      <c r="AA57" s="7">
        <f>+'American Educators'!T60</f>
        <v>0</v>
      </c>
      <c r="AB57" s="17">
        <f>+'American Educators'!U60</f>
        <v>0</v>
      </c>
    </row>
    <row r="58" spans="2:28">
      <c r="B58" s="8" t="s">
        <v>276</v>
      </c>
      <c r="C58" s="129" t="s">
        <v>277</v>
      </c>
      <c r="D58" s="28" t="s">
        <v>173</v>
      </c>
      <c r="E58" s="41"/>
      <c r="F58" s="41">
        <v>34145</v>
      </c>
      <c r="G58" s="58">
        <v>40823</v>
      </c>
      <c r="H58" s="7">
        <f>+'American Integrity'!B60</f>
        <v>0</v>
      </c>
      <c r="I58" s="7">
        <f>+'American Integrity'!C60</f>
        <v>0</v>
      </c>
      <c r="J58" s="7">
        <f>+'American Integrity'!D60</f>
        <v>34231398.868000031</v>
      </c>
      <c r="K58" s="7">
        <f>+'American Integrity'!E60</f>
        <v>0</v>
      </c>
      <c r="L58" s="7">
        <f t="shared" si="7"/>
        <v>34231398.868000031</v>
      </c>
      <c r="M58" s="17"/>
      <c r="N58" s="7">
        <v>34231398.868000031</v>
      </c>
      <c r="O58" s="17">
        <f t="shared" si="8"/>
        <v>0</v>
      </c>
      <c r="R58" s="10">
        <f>+'American Integrity'!K60</f>
        <v>9517</v>
      </c>
      <c r="S58" s="7">
        <f>+'American Integrity'!L60</f>
        <v>729780</v>
      </c>
      <c r="T58" s="7"/>
      <c r="U58" s="7">
        <f>+'American Integrity'!N60</f>
        <v>0</v>
      </c>
      <c r="V58" s="7">
        <f>+'American Integrity'!O60</f>
        <v>0</v>
      </c>
      <c r="W58" s="7"/>
      <c r="X58" s="7">
        <f>+'American Integrity'!Q60</f>
        <v>85880466.5</v>
      </c>
      <c r="Y58" s="7">
        <f>+'American Integrity'!R60</f>
        <v>29218274</v>
      </c>
      <c r="Z58" s="7"/>
      <c r="AA58" s="7">
        <f>+'American Integrity'!T60</f>
        <v>0</v>
      </c>
      <c r="AB58" s="17">
        <f>+'American Integrity'!U60</f>
        <v>0</v>
      </c>
    </row>
    <row r="59" spans="2:28">
      <c r="B59" s="8" t="s">
        <v>278</v>
      </c>
      <c r="C59" s="129" t="s">
        <v>279</v>
      </c>
      <c r="D59" s="28" t="s">
        <v>190</v>
      </c>
      <c r="E59" s="41">
        <v>35486</v>
      </c>
      <c r="F59" s="41">
        <v>35580</v>
      </c>
      <c r="G59" s="58">
        <v>38153</v>
      </c>
      <c r="H59" s="7">
        <f>+'Amer Life Asr'!B60</f>
        <v>95263.499012849963</v>
      </c>
      <c r="I59" s="7">
        <f>+'Amer Life Asr'!C60</f>
        <v>852703.76583408879</v>
      </c>
      <c r="J59" s="7">
        <f>+'Amer Life Asr'!D60</f>
        <v>4437458.165153061</v>
      </c>
      <c r="K59" s="7">
        <f>+'Amer Life Asr'!E60</f>
        <v>0</v>
      </c>
      <c r="L59" s="7">
        <f t="shared" si="7"/>
        <v>5385425.4299999997</v>
      </c>
      <c r="M59" s="17"/>
      <c r="N59" s="7">
        <v>5385425.4299999997</v>
      </c>
      <c r="O59" s="17">
        <f t="shared" si="8"/>
        <v>0</v>
      </c>
      <c r="R59" s="10">
        <f>+'Amer Life Asr'!K60</f>
        <v>10971</v>
      </c>
      <c r="S59" s="7">
        <f>+'Amer Life Asr'!L60</f>
        <v>0</v>
      </c>
      <c r="T59" s="7"/>
      <c r="U59" s="7">
        <f>+'Amer Life Asr'!N60</f>
        <v>0</v>
      </c>
      <c r="V59" s="7">
        <f>+'Amer Life Asr'!O60</f>
        <v>0</v>
      </c>
      <c r="W59" s="7"/>
      <c r="X59" s="7">
        <f>+'Amer Life Asr'!Q60</f>
        <v>148029</v>
      </c>
      <c r="Y59" s="7">
        <f>+'Amer Life Asr'!R60</f>
        <v>0</v>
      </c>
      <c r="Z59" s="7"/>
      <c r="AA59" s="7">
        <f>+'Amer Life Asr'!T60</f>
        <v>0</v>
      </c>
      <c r="AB59" s="17">
        <f>+'Amer Life Asr'!U60</f>
        <v>0</v>
      </c>
    </row>
    <row r="60" spans="2:28">
      <c r="B60" s="8" t="s">
        <v>280</v>
      </c>
      <c r="C60" s="129" t="s">
        <v>281</v>
      </c>
      <c r="D60" s="28" t="s">
        <v>234</v>
      </c>
      <c r="E60" s="41">
        <v>33291</v>
      </c>
      <c r="F60" s="41">
        <v>36060</v>
      </c>
      <c r="G60" s="58">
        <v>38135</v>
      </c>
      <c r="H60" s="7">
        <f>+'Amer Std Life Acc'!B60</f>
        <v>7553034.2794029946</v>
      </c>
      <c r="I60" s="7">
        <f>+'Amer Std Life Acc'!C60</f>
        <v>427467.20864476688</v>
      </c>
      <c r="J60" s="7">
        <f>+'Amer Std Life Acc'!D60</f>
        <v>419088.82195224008</v>
      </c>
      <c r="K60" s="7">
        <f>+'Amer Std Life Acc'!E60</f>
        <v>0</v>
      </c>
      <c r="L60" s="7">
        <f t="shared" si="7"/>
        <v>8399590.3100000024</v>
      </c>
      <c r="M60" s="17"/>
      <c r="N60" s="7">
        <v>8399590.3100000024</v>
      </c>
      <c r="O60" s="17">
        <f t="shared" si="8"/>
        <v>0</v>
      </c>
      <c r="R60" s="10">
        <f>+'Amer Std Life Acc'!K60</f>
        <v>6139072</v>
      </c>
      <c r="S60" s="7">
        <f>+'Amer Std Life Acc'!L60</f>
        <v>5473823.1830000002</v>
      </c>
      <c r="T60" s="7"/>
      <c r="U60" s="7">
        <f>+'Amer Std Life Acc'!N60</f>
        <v>10343</v>
      </c>
      <c r="V60" s="7">
        <f>+'Amer Std Life Acc'!O60</f>
        <v>111000</v>
      </c>
      <c r="W60" s="7"/>
      <c r="X60" s="7">
        <f>+'Amer Std Life Acc'!Q60</f>
        <v>1280461</v>
      </c>
      <c r="Y60" s="7">
        <f>+'Amer Std Life Acc'!R60</f>
        <v>660184.81700000004</v>
      </c>
      <c r="Z60" s="7"/>
      <c r="AA60" s="7">
        <f>+'Amer Std Life Acc'!T60</f>
        <v>0</v>
      </c>
      <c r="AB60" s="17">
        <f>+'Amer Std Life Acc'!U60</f>
        <v>0</v>
      </c>
    </row>
    <row r="61" spans="2:28">
      <c r="B61" s="8" t="s">
        <v>282</v>
      </c>
      <c r="C61" s="129" t="s">
        <v>283</v>
      </c>
      <c r="D61" s="28" t="s">
        <v>284</v>
      </c>
      <c r="E61" s="41">
        <v>35431</v>
      </c>
      <c r="F61" s="41">
        <v>35670</v>
      </c>
      <c r="G61" s="58">
        <v>40689</v>
      </c>
      <c r="H61" s="7">
        <f>+AmerWstrn!B60</f>
        <v>-711.51553736388996</v>
      </c>
      <c r="I61" s="7">
        <f>+AmerWstrn!C60</f>
        <v>0</v>
      </c>
      <c r="J61" s="7">
        <f>+AmerWstrn!D60</f>
        <v>-139901.53446263555</v>
      </c>
      <c r="K61" s="7">
        <f>+AmerWstrn!E60</f>
        <v>0</v>
      </c>
      <c r="L61" s="7">
        <f t="shared" si="7"/>
        <v>-140613.04999999944</v>
      </c>
      <c r="M61" s="17"/>
      <c r="N61" s="7">
        <v>-140613.04999999944</v>
      </c>
      <c r="O61" s="17">
        <f t="shared" si="8"/>
        <v>0</v>
      </c>
      <c r="R61" s="10">
        <f>+AmerWstrn!K60</f>
        <v>0</v>
      </c>
      <c r="S61" s="7">
        <f>+AmerWstrn!L60</f>
        <v>0</v>
      </c>
      <c r="T61" s="7"/>
      <c r="U61" s="7">
        <f>+AmerWstrn!N60</f>
        <v>0</v>
      </c>
      <c r="V61" s="7">
        <f>+AmerWstrn!O60</f>
        <v>0</v>
      </c>
      <c r="W61" s="7"/>
      <c r="X61" s="7">
        <f>+AmerWstrn!Q60</f>
        <v>1804218</v>
      </c>
      <c r="Y61" s="7">
        <f>+AmerWstrn!R60</f>
        <v>1145622</v>
      </c>
      <c r="Z61" s="7"/>
      <c r="AA61" s="7">
        <f>+AmerWstrn!T60</f>
        <v>0</v>
      </c>
      <c r="AB61" s="17">
        <f>+AmerWstrn!U60</f>
        <v>0</v>
      </c>
    </row>
    <row r="62" spans="2:28">
      <c r="B62" s="8" t="s">
        <v>285</v>
      </c>
      <c r="C62" s="129" t="s">
        <v>286</v>
      </c>
      <c r="D62" s="28" t="s">
        <v>287</v>
      </c>
      <c r="E62" s="41">
        <v>33690</v>
      </c>
      <c r="F62" s="41">
        <v>33850</v>
      </c>
      <c r="G62" s="58">
        <v>39079</v>
      </c>
      <c r="H62" s="7">
        <f>+'AMS Life'!B60</f>
        <v>1793887.6697184704</v>
      </c>
      <c r="I62" s="7">
        <f>+'AMS Life'!C60</f>
        <v>31550504.988168027</v>
      </c>
      <c r="J62" s="7">
        <f>+'AMS Life'!D60</f>
        <v>-118324.99788650457</v>
      </c>
      <c r="K62" s="7">
        <f>+'AMS Life'!E60</f>
        <v>0</v>
      </c>
      <c r="L62" s="7">
        <f t="shared" si="7"/>
        <v>33226067.659999993</v>
      </c>
      <c r="M62" s="17"/>
      <c r="N62" s="7">
        <v>33226067.659999993</v>
      </c>
      <c r="O62" s="17">
        <f t="shared" si="8"/>
        <v>0</v>
      </c>
      <c r="R62" s="10">
        <f>+'AMS Life'!K60</f>
        <v>4459142</v>
      </c>
      <c r="S62" s="7">
        <f>+'AMS Life'!L60</f>
        <v>3474861.5120000001</v>
      </c>
      <c r="T62" s="7"/>
      <c r="U62" s="7">
        <f>+'AMS Life'!N60</f>
        <v>65758257</v>
      </c>
      <c r="V62" s="7">
        <f>+'AMS Life'!O60</f>
        <v>40390278.487999998</v>
      </c>
      <c r="W62" s="7"/>
      <c r="X62" s="7">
        <f>+'AMS Life'!Q60</f>
        <v>1310907</v>
      </c>
      <c r="Y62" s="7">
        <f>+'AMS Life'!R60</f>
        <v>1500000</v>
      </c>
      <c r="Z62" s="7"/>
      <c r="AA62" s="7">
        <f>+'AMS Life'!T60</f>
        <v>8000000</v>
      </c>
      <c r="AB62" s="17">
        <f>+'AMS Life'!U60</f>
        <v>2700000</v>
      </c>
    </row>
    <row r="63" spans="2:28">
      <c r="B63" s="8" t="s">
        <v>288</v>
      </c>
      <c r="C63" s="129" t="s">
        <v>289</v>
      </c>
      <c r="D63" s="28" t="s">
        <v>204</v>
      </c>
      <c r="E63" s="41">
        <v>36661</v>
      </c>
      <c r="F63" s="41">
        <v>36696</v>
      </c>
      <c r="G63" s="58">
        <v>37718</v>
      </c>
      <c r="H63" s="7">
        <f>+'Bankers Commercial'!B60</f>
        <v>-982.44433569099056</v>
      </c>
      <c r="I63" s="7">
        <f>+'Bankers Commercial'!C60</f>
        <v>0</v>
      </c>
      <c r="J63" s="7">
        <f>+'Bankers Commercial'!D60</f>
        <v>13850807.154335693</v>
      </c>
      <c r="K63" s="7">
        <f>+'Bankers Commercial'!E60</f>
        <v>0</v>
      </c>
      <c r="L63" s="7">
        <f t="shared" si="7"/>
        <v>13849824.710000001</v>
      </c>
      <c r="M63" s="17"/>
      <c r="N63" s="7">
        <v>13849824.710000001</v>
      </c>
      <c r="O63" s="17">
        <f t="shared" si="8"/>
        <v>0</v>
      </c>
      <c r="R63" s="10">
        <f>+'Bankers Commercial'!K60</f>
        <v>70714</v>
      </c>
      <c r="S63" s="7">
        <f>+'Bankers Commercial'!L60</f>
        <v>16487.105000000003</v>
      </c>
      <c r="T63" s="7"/>
      <c r="U63" s="7">
        <f>+'Bankers Commercial'!N60</f>
        <v>0</v>
      </c>
      <c r="V63" s="7">
        <f>+'Bankers Commercial'!O60</f>
        <v>0</v>
      </c>
      <c r="W63" s="7"/>
      <c r="X63" s="7">
        <f>+'Bankers Commercial'!Q60</f>
        <v>17454254</v>
      </c>
      <c r="Y63" s="7">
        <f>+'Bankers Commercial'!R60</f>
        <v>2830939.895</v>
      </c>
      <c r="Z63" s="7"/>
      <c r="AA63" s="7">
        <f>+'Bankers Commercial'!T60</f>
        <v>0</v>
      </c>
      <c r="AB63" s="17">
        <f>+'Bankers Commercial'!U60</f>
        <v>0</v>
      </c>
    </row>
    <row r="64" spans="2:28">
      <c r="B64" s="8" t="s">
        <v>290</v>
      </c>
      <c r="C64" s="129" t="s">
        <v>291</v>
      </c>
      <c r="D64" s="28" t="s">
        <v>292</v>
      </c>
      <c r="E64" s="41">
        <v>35088</v>
      </c>
      <c r="F64" s="41">
        <v>35339</v>
      </c>
      <c r="G64" s="58">
        <v>38247</v>
      </c>
      <c r="H64" s="7">
        <f>+'Coastal States'!B60</f>
        <v>48622.128797712423</v>
      </c>
      <c r="I64" s="7">
        <f>+'Coastal States'!C60</f>
        <v>16273477.871202288</v>
      </c>
      <c r="J64" s="7">
        <f>+'Coastal States'!D60</f>
        <v>0</v>
      </c>
      <c r="K64" s="7">
        <f>+'Coastal States'!E60</f>
        <v>0</v>
      </c>
      <c r="L64" s="7">
        <f t="shared" si="7"/>
        <v>16322100</v>
      </c>
      <c r="M64" s="17"/>
      <c r="N64" s="7">
        <v>16322100.000000002</v>
      </c>
      <c r="O64" s="17">
        <f t="shared" si="8"/>
        <v>0</v>
      </c>
      <c r="R64" s="10">
        <f>+'Coastal States'!K60</f>
        <v>340667</v>
      </c>
      <c r="S64" s="7">
        <f>+'Coastal States'!L60</f>
        <v>49490.362081562751</v>
      </c>
      <c r="T64" s="7"/>
      <c r="U64" s="7">
        <f>+'Coastal States'!N60</f>
        <v>17248265</v>
      </c>
      <c r="V64" s="7">
        <f>+'Coastal States'!O60</f>
        <v>1038487.1079184372</v>
      </c>
      <c r="W64" s="7"/>
      <c r="X64" s="7">
        <f>+'Coastal States'!Q60</f>
        <v>0</v>
      </c>
      <c r="Y64" s="7">
        <f>+'Coastal States'!R60</f>
        <v>0</v>
      </c>
      <c r="Z64" s="7"/>
      <c r="AA64" s="7">
        <f>+'Coastal States'!T60</f>
        <v>0</v>
      </c>
      <c r="AB64" s="17">
        <f>+'Coastal States'!U60</f>
        <v>0</v>
      </c>
    </row>
    <row r="65" spans="2:28">
      <c r="B65" s="8" t="s">
        <v>293</v>
      </c>
      <c r="C65" s="129" t="s">
        <v>294</v>
      </c>
      <c r="D65" s="28" t="s">
        <v>170</v>
      </c>
      <c r="E65" s="41">
        <v>34558</v>
      </c>
      <c r="F65" s="41">
        <v>34558</v>
      </c>
      <c r="G65" s="58">
        <v>39771</v>
      </c>
      <c r="H65" s="7">
        <f>+'Confed Life (CLIC)'!B60</f>
        <v>1008.1316624686283</v>
      </c>
      <c r="I65" s="7">
        <f>+'Confed Life (CLIC)'!C60</f>
        <v>2455.537264794204</v>
      </c>
      <c r="J65" s="7">
        <f>+'Confed Life (CLIC)'!D60</f>
        <v>-1.3042544888107072E-2</v>
      </c>
      <c r="K65" s="7">
        <f>+'Confed Life (CLIC)'!E60</f>
        <v>10353.721074253859</v>
      </c>
      <c r="L65" s="7">
        <f t="shared" si="7"/>
        <v>13817.376958971803</v>
      </c>
      <c r="M65" s="17"/>
      <c r="N65" s="7">
        <v>13817.376958971803</v>
      </c>
      <c r="O65" s="17">
        <f t="shared" si="8"/>
        <v>0</v>
      </c>
      <c r="R65" s="10">
        <f>+'Confed Life (CLIC)'!K60</f>
        <v>11306785</v>
      </c>
      <c r="S65" s="7">
        <f>+'Confed Life (CLIC)'!L60</f>
        <v>10875478</v>
      </c>
      <c r="T65" s="7"/>
      <c r="U65" s="7">
        <f>+'Confed Life (CLIC)'!N60</f>
        <v>44055596</v>
      </c>
      <c r="V65" s="7">
        <f>+'Confed Life (CLIC)'!O60</f>
        <v>26201957.009999998</v>
      </c>
      <c r="W65" s="7"/>
      <c r="X65" s="7">
        <f>+'Confed Life (CLIC)'!Q60</f>
        <v>895082</v>
      </c>
      <c r="Y65" s="7">
        <f>+'Confed Life (CLIC)'!R60</f>
        <v>960837</v>
      </c>
      <c r="Z65" s="7"/>
      <c r="AA65" s="7">
        <f>+'Confed Life (CLIC)'!T60</f>
        <v>108553958</v>
      </c>
      <c r="AB65" s="17">
        <f>+'Confed Life (CLIC)'!U60</f>
        <v>71103888.789999992</v>
      </c>
    </row>
    <row r="66" spans="2:28">
      <c r="B66" s="8" t="s">
        <v>295</v>
      </c>
      <c r="C66" s="129" t="s">
        <v>296</v>
      </c>
      <c r="D66" s="28" t="s">
        <v>207</v>
      </c>
      <c r="E66" s="41">
        <v>34305</v>
      </c>
      <c r="F66" s="41">
        <v>34527</v>
      </c>
      <c r="G66" s="58">
        <v>36493</v>
      </c>
      <c r="H66" s="7">
        <f>+'Consolidated National'!B60</f>
        <v>8677556.5528291129</v>
      </c>
      <c r="I66" s="7">
        <f>+'Consolidated National'!C60</f>
        <v>150895.20386665015</v>
      </c>
      <c r="J66" s="7">
        <f>+'Consolidated National'!D60</f>
        <v>24464.085099110336</v>
      </c>
      <c r="K66" s="7">
        <f>+'Consolidated National'!E60</f>
        <v>0</v>
      </c>
      <c r="L66" s="7">
        <f t="shared" si="7"/>
        <v>8852915.8417948727</v>
      </c>
      <c r="M66" s="17"/>
      <c r="N66" s="7">
        <v>8852915.8417948727</v>
      </c>
      <c r="O66" s="17">
        <f t="shared" si="8"/>
        <v>0</v>
      </c>
      <c r="R66" s="10">
        <f>+'Consolidated National'!K60</f>
        <v>11271909</v>
      </c>
      <c r="S66" s="7">
        <f>+'Consolidated National'!L60</f>
        <v>1041272</v>
      </c>
      <c r="T66" s="7"/>
      <c r="U66" s="7">
        <f>+'Consolidated National'!N60</f>
        <v>1401485</v>
      </c>
      <c r="V66" s="7">
        <f>+'Consolidated National'!O60</f>
        <v>0</v>
      </c>
      <c r="W66" s="7"/>
      <c r="X66" s="7">
        <f>+'Consolidated National'!Q60</f>
        <v>122000</v>
      </c>
      <c r="Y66" s="7">
        <f>+'Consolidated National'!R60</f>
        <v>0</v>
      </c>
      <c r="Z66" s="7"/>
      <c r="AA66" s="7">
        <f>+'Consolidated National'!T60</f>
        <v>0</v>
      </c>
      <c r="AB66" s="17">
        <f>+'Consolidated National'!U60</f>
        <v>0</v>
      </c>
    </row>
    <row r="67" spans="2:28">
      <c r="B67" s="8" t="s">
        <v>297</v>
      </c>
      <c r="C67" s="129" t="s">
        <v>298</v>
      </c>
      <c r="D67" s="28" t="s">
        <v>256</v>
      </c>
      <c r="E67" s="41">
        <v>34009</v>
      </c>
      <c r="F67" s="41">
        <v>34459</v>
      </c>
      <c r="G67" s="58">
        <v>41550</v>
      </c>
      <c r="H67" s="7">
        <f>+'Consumers United'!B60</f>
        <v>1116932.7099003904</v>
      </c>
      <c r="I67" s="7">
        <f>+'Consumers United'!C60</f>
        <v>8407647.2304834239</v>
      </c>
      <c r="J67" s="7">
        <f>+'Consumers United'!D60</f>
        <v>5568428.169616187</v>
      </c>
      <c r="K67" s="7">
        <f>+'Consumers United'!E60</f>
        <v>0</v>
      </c>
      <c r="L67" s="7">
        <f t="shared" si="7"/>
        <v>15093008.110000001</v>
      </c>
      <c r="M67" s="17"/>
      <c r="N67" s="7">
        <v>15088773.509999996</v>
      </c>
      <c r="O67" s="17">
        <f t="shared" si="8"/>
        <v>4234.6000000052154</v>
      </c>
      <c r="R67" s="10">
        <f>+'Consumers United'!K60</f>
        <v>868884</v>
      </c>
      <c r="S67" s="7">
        <f>+'Consumers United'!L60</f>
        <v>258055.07010800001</v>
      </c>
      <c r="T67" s="7"/>
      <c r="U67" s="7">
        <f>+'Consumers United'!N60</f>
        <v>5279053</v>
      </c>
      <c r="V67" s="7">
        <f>+'Consumers United'!O60</f>
        <v>275536.95542000001</v>
      </c>
      <c r="W67" s="7"/>
      <c r="X67" s="7">
        <f>+'Consumers United'!Q60</f>
        <v>12212190</v>
      </c>
      <c r="Y67" s="7">
        <f>+'Consumers United'!R60</f>
        <v>3611951.2544720001</v>
      </c>
      <c r="Z67" s="7"/>
      <c r="AA67" s="7">
        <f>+'Consumers United'!T60</f>
        <v>40</v>
      </c>
      <c r="AB67" s="17">
        <f>+'Consumers United'!U60</f>
        <v>4</v>
      </c>
    </row>
    <row r="68" spans="2:28">
      <c r="B68" s="8" t="s">
        <v>299</v>
      </c>
      <c r="C68" s="129" t="s">
        <v>300</v>
      </c>
      <c r="D68" s="28" t="s">
        <v>173</v>
      </c>
      <c r="E68" s="41">
        <v>32379</v>
      </c>
      <c r="F68" s="41">
        <v>34380</v>
      </c>
      <c r="G68" s="58">
        <v>39086</v>
      </c>
      <c r="H68" s="7">
        <f>+'Corporate Life'!B60</f>
        <v>2485907.0505228303</v>
      </c>
      <c r="I68" s="7">
        <f>+'Corporate Life'!C60</f>
        <v>170712718.23676884</v>
      </c>
      <c r="J68" s="7">
        <f>+'Corporate Life'!D60</f>
        <v>389201.58535833366</v>
      </c>
      <c r="K68" s="7">
        <f>+'Corporate Life'!E60</f>
        <v>0</v>
      </c>
      <c r="L68" s="7">
        <f t="shared" si="7"/>
        <v>173587826.87265</v>
      </c>
      <c r="M68" s="17"/>
      <c r="N68" s="7">
        <v>173587826.87265003</v>
      </c>
      <c r="O68" s="17">
        <f t="shared" si="8"/>
        <v>0</v>
      </c>
      <c r="R68" s="10">
        <f>+'Corporate Life'!K60</f>
        <v>94012513</v>
      </c>
      <c r="S68" s="7">
        <f>+'Corporate Life'!L60</f>
        <v>0</v>
      </c>
      <c r="T68" s="7"/>
      <c r="U68" s="7">
        <f>+'Corporate Life'!N60</f>
        <v>76061564</v>
      </c>
      <c r="V68" s="7">
        <f>+'Corporate Life'!O60</f>
        <v>0</v>
      </c>
      <c r="W68" s="7"/>
      <c r="X68" s="7">
        <f>+'Corporate Life'!Q60</f>
        <v>250000</v>
      </c>
      <c r="Y68" s="7">
        <f>+'Corporate Life'!R60</f>
        <v>0</v>
      </c>
      <c r="Z68" s="7"/>
      <c r="AA68" s="7">
        <f>+'Corporate Life'!T60</f>
        <v>67153313</v>
      </c>
      <c r="AB68" s="17">
        <f>+'Corporate Life'!U60</f>
        <v>0</v>
      </c>
    </row>
    <row r="69" spans="2:28">
      <c r="B69" s="8" t="s">
        <v>301</v>
      </c>
      <c r="C69" s="129" t="s">
        <v>302</v>
      </c>
      <c r="D69" s="28" t="s">
        <v>287</v>
      </c>
      <c r="E69" s="41">
        <v>32496</v>
      </c>
      <c r="F69" s="41">
        <v>33662</v>
      </c>
      <c r="G69" s="58">
        <v>39437</v>
      </c>
      <c r="H69" s="7">
        <f>+'Diamond Benefits'!B60</f>
        <v>0</v>
      </c>
      <c r="I69" s="7">
        <f>+'Diamond Benefits'!C60</f>
        <v>12094494.004500002</v>
      </c>
      <c r="J69" s="7">
        <f>+'Diamond Benefits'!D60</f>
        <v>0</v>
      </c>
      <c r="K69" s="7">
        <f>+'Diamond Benefits'!E60</f>
        <v>0</v>
      </c>
      <c r="L69" s="7">
        <f t="shared" si="7"/>
        <v>12094494.004500002</v>
      </c>
      <c r="M69" s="17"/>
      <c r="N69" s="7">
        <v>12094494.004500002</v>
      </c>
      <c r="O69" s="17">
        <f t="shared" si="8"/>
        <v>0</v>
      </c>
      <c r="R69" s="10">
        <f>+'Diamond Benefits'!K60</f>
        <v>176802</v>
      </c>
      <c r="S69" s="7">
        <f>+'Diamond Benefits'!L60</f>
        <v>237.5558</v>
      </c>
      <c r="T69" s="7"/>
      <c r="U69" s="7">
        <f>+'Diamond Benefits'!N60</f>
        <v>5957495</v>
      </c>
      <c r="V69" s="7">
        <f>+'Diamond Benefits'!O60</f>
        <v>1545000</v>
      </c>
      <c r="W69" s="7"/>
      <c r="X69" s="7">
        <f>+'Diamond Benefits'!Q60</f>
        <v>12004070</v>
      </c>
      <c r="Y69" s="7">
        <f>+'Diamond Benefits'!R60</f>
        <v>85843.444199999998</v>
      </c>
      <c r="Z69" s="7"/>
      <c r="AA69" s="7">
        <f>+'Diamond Benefits'!T60</f>
        <v>0</v>
      </c>
      <c r="AB69" s="17">
        <f>+'Diamond Benefits'!U60</f>
        <v>0</v>
      </c>
    </row>
    <row r="70" spans="2:28">
      <c r="B70" s="8" t="s">
        <v>303</v>
      </c>
      <c r="C70" s="129" t="s">
        <v>304</v>
      </c>
      <c r="D70" s="28" t="s">
        <v>173</v>
      </c>
      <c r="E70" s="41"/>
      <c r="F70" s="41">
        <v>34431</v>
      </c>
      <c r="G70" s="58">
        <v>38579</v>
      </c>
      <c r="H70" s="7">
        <f>+'EBL Life'!B60</f>
        <v>11195211.308470907</v>
      </c>
      <c r="I70" s="7">
        <f>+'EBL Life'!C60</f>
        <v>3128665.9015290942</v>
      </c>
      <c r="J70" s="7">
        <f>+'EBL Life'!D60</f>
        <v>0</v>
      </c>
      <c r="K70" s="7">
        <f>+'EBL Life'!E60</f>
        <v>0</v>
      </c>
      <c r="L70" s="7">
        <f t="shared" si="7"/>
        <v>14323877.210000001</v>
      </c>
      <c r="M70" s="17"/>
      <c r="N70" s="7">
        <v>14323877.210000001</v>
      </c>
      <c r="O70" s="17">
        <f t="shared" si="8"/>
        <v>0</v>
      </c>
      <c r="R70" s="10">
        <f>+'EBL Life'!K60</f>
        <v>32000000</v>
      </c>
      <c r="S70" s="7">
        <f>+'EBL Life'!L60</f>
        <v>0</v>
      </c>
      <c r="T70" s="7"/>
      <c r="U70" s="7">
        <f>+'EBL Life'!N60</f>
        <v>0</v>
      </c>
      <c r="V70" s="7">
        <f>+'EBL Life'!O60</f>
        <v>0</v>
      </c>
      <c r="W70" s="7"/>
      <c r="X70" s="7">
        <f>+'EBL Life'!Q60</f>
        <v>0</v>
      </c>
      <c r="Y70" s="7">
        <f>+'EBL Life'!R60</f>
        <v>0</v>
      </c>
      <c r="Z70" s="7"/>
      <c r="AA70" s="7">
        <f>+'EBL Life'!T60</f>
        <v>0</v>
      </c>
      <c r="AB70" s="17">
        <f>+'EBL Life'!U60</f>
        <v>0</v>
      </c>
    </row>
    <row r="71" spans="2:28">
      <c r="B71" s="8" t="s">
        <v>305</v>
      </c>
      <c r="C71" s="129" t="s">
        <v>306</v>
      </c>
      <c r="D71" s="28" t="s">
        <v>307</v>
      </c>
      <c r="E71" s="41">
        <v>33371</v>
      </c>
      <c r="F71" s="41">
        <v>33876</v>
      </c>
      <c r="G71" s="58">
        <v>41178</v>
      </c>
      <c r="H71" s="7">
        <f>+'Fidelity Bankers'!B60</f>
        <v>274417.48801646056</v>
      </c>
      <c r="I71" s="7">
        <f>+'Fidelity Bankers'!C60</f>
        <v>14149804.211983541</v>
      </c>
      <c r="J71" s="7">
        <f>+'Fidelity Bankers'!D60</f>
        <v>0</v>
      </c>
      <c r="K71" s="7">
        <f>+'Fidelity Bankers'!E60</f>
        <v>0</v>
      </c>
      <c r="L71" s="7">
        <f t="shared" si="7"/>
        <v>14424221.700000001</v>
      </c>
      <c r="M71" s="17"/>
      <c r="N71" s="7">
        <v>14424221.700000001</v>
      </c>
      <c r="O71" s="17">
        <f t="shared" si="8"/>
        <v>0</v>
      </c>
      <c r="R71" s="10">
        <f>+'Fidelity Bankers'!K60</f>
        <v>889508</v>
      </c>
      <c r="S71" s="7">
        <f>+'Fidelity Bankers'!L60</f>
        <v>30</v>
      </c>
      <c r="T71" s="7"/>
      <c r="U71" s="7">
        <f>+'Fidelity Bankers'!N60</f>
        <v>2648350</v>
      </c>
      <c r="V71" s="7">
        <f>+'Fidelity Bankers'!O60</f>
        <v>20</v>
      </c>
      <c r="W71" s="7"/>
      <c r="X71" s="7">
        <f>+'Fidelity Bankers'!Q60</f>
        <v>330078</v>
      </c>
      <c r="Y71" s="7">
        <f>+'Fidelity Bankers'!R60</f>
        <v>0</v>
      </c>
      <c r="Z71" s="7"/>
      <c r="AA71" s="7">
        <f>+'Fidelity Bankers'!T60</f>
        <v>35000</v>
      </c>
      <c r="AB71" s="17">
        <f>+'Fidelity Bankers'!U60</f>
        <v>0</v>
      </c>
    </row>
    <row r="72" spans="2:28">
      <c r="B72" s="8" t="s">
        <v>308</v>
      </c>
      <c r="C72" s="129" t="s">
        <v>309</v>
      </c>
      <c r="D72" s="28" t="s">
        <v>190</v>
      </c>
      <c r="E72" s="41">
        <v>35342</v>
      </c>
      <c r="F72" s="41">
        <v>35647</v>
      </c>
      <c r="G72" s="58">
        <v>37607</v>
      </c>
      <c r="H72" s="7">
        <f>+'First Natl'!B60</f>
        <v>0</v>
      </c>
      <c r="I72" s="7">
        <f>+'First Natl'!C60</f>
        <v>0</v>
      </c>
      <c r="J72" s="7">
        <f>+'First Natl'!D60</f>
        <v>227653.36000000004</v>
      </c>
      <c r="K72" s="7">
        <f>+'First Natl'!E60</f>
        <v>0</v>
      </c>
      <c r="L72" s="7">
        <f t="shared" si="7"/>
        <v>227653.36000000004</v>
      </c>
      <c r="M72" s="17"/>
      <c r="N72" s="7">
        <v>227653.3600000001</v>
      </c>
      <c r="O72" s="17">
        <f t="shared" si="8"/>
        <v>0</v>
      </c>
      <c r="R72" s="10">
        <f>+'First Natl'!K60</f>
        <v>8231</v>
      </c>
      <c r="S72" s="7">
        <f>+'First Natl'!L60</f>
        <v>500000</v>
      </c>
      <c r="T72" s="7"/>
      <c r="U72" s="7">
        <f>+'First Natl'!N60</f>
        <v>0</v>
      </c>
      <c r="V72" s="7">
        <f>+'First Natl'!O60</f>
        <v>1700000</v>
      </c>
      <c r="W72" s="7"/>
      <c r="X72" s="7">
        <f>+'First Natl'!Q60</f>
        <v>192196</v>
      </c>
      <c r="Y72" s="7">
        <f>+'First Natl'!R60</f>
        <v>116294</v>
      </c>
      <c r="Z72" s="7"/>
      <c r="AA72" s="7">
        <f>+'First Natl'!T60</f>
        <v>0</v>
      </c>
      <c r="AB72" s="17">
        <f>+'First Natl'!U60</f>
        <v>0</v>
      </c>
    </row>
    <row r="73" spans="2:28">
      <c r="B73" s="8" t="s">
        <v>310</v>
      </c>
      <c r="C73" s="129" t="s">
        <v>311</v>
      </c>
      <c r="D73" s="28" t="s">
        <v>312</v>
      </c>
      <c r="E73" s="41">
        <v>33121</v>
      </c>
      <c r="F73" s="41">
        <v>33392</v>
      </c>
      <c r="G73" s="58">
        <v>38373</v>
      </c>
      <c r="H73" s="7">
        <f>+'George Washington'!B60</f>
        <v>1323708.7036176065</v>
      </c>
      <c r="I73" s="7">
        <f>+'George Washington'!C60</f>
        <v>77271.220772817527</v>
      </c>
      <c r="J73" s="7">
        <f>+'George Washington'!D60</f>
        <v>385149.8856095752</v>
      </c>
      <c r="K73" s="7">
        <f>+'George Washington'!E60</f>
        <v>0</v>
      </c>
      <c r="L73" s="7">
        <f t="shared" si="7"/>
        <v>1786129.8099999991</v>
      </c>
      <c r="M73" s="17"/>
      <c r="N73" s="7">
        <v>1786129.8099999987</v>
      </c>
      <c r="O73" s="17">
        <f t="shared" si="8"/>
        <v>0</v>
      </c>
      <c r="R73" s="10">
        <f>+'George Washington'!K60</f>
        <v>5231876</v>
      </c>
      <c r="S73" s="7">
        <f>+'George Washington'!L60</f>
        <v>2288000.2824999997</v>
      </c>
      <c r="T73" s="7"/>
      <c r="U73" s="7">
        <f>+'George Washington'!N60</f>
        <v>214664</v>
      </c>
      <c r="V73" s="7">
        <f>+'George Washington'!O60</f>
        <v>154649.16</v>
      </c>
      <c r="W73" s="7"/>
      <c r="X73" s="7">
        <f>+'George Washington'!Q60</f>
        <v>13338293</v>
      </c>
      <c r="Y73" s="7">
        <f>+'George Washington'!R60</f>
        <v>5683448.6675000004</v>
      </c>
      <c r="Z73" s="7"/>
      <c r="AA73" s="7">
        <f>+'George Washington'!T60</f>
        <v>0</v>
      </c>
      <c r="AB73" s="17">
        <f>+'George Washington'!U60</f>
        <v>0</v>
      </c>
    </row>
    <row r="74" spans="2:28">
      <c r="B74" s="8" t="s">
        <v>313</v>
      </c>
      <c r="C74" s="129" t="s">
        <v>314</v>
      </c>
      <c r="D74" s="28" t="s">
        <v>215</v>
      </c>
      <c r="E74" s="41">
        <v>33462</v>
      </c>
      <c r="F74" s="41">
        <v>33940</v>
      </c>
      <c r="G74" s="58">
        <v>38562</v>
      </c>
      <c r="H74" s="7">
        <f>+'Guarantee Security'!B60</f>
        <v>22777529.469151247</v>
      </c>
      <c r="I74" s="7">
        <f>+'Guarantee Security'!C60</f>
        <v>84099479.560848773</v>
      </c>
      <c r="J74" s="7">
        <f>+'Guarantee Security'!D60</f>
        <v>0</v>
      </c>
      <c r="K74" s="7">
        <f>+'Guarantee Security'!E60</f>
        <v>0</v>
      </c>
      <c r="L74" s="7">
        <f t="shared" si="7"/>
        <v>106877009.03000002</v>
      </c>
      <c r="M74" s="17"/>
      <c r="N74" s="7">
        <v>106877009.03000002</v>
      </c>
      <c r="O74" s="17">
        <f t="shared" si="8"/>
        <v>0</v>
      </c>
      <c r="R74" s="10">
        <f>+'Guarantee Security'!K60</f>
        <v>60125731</v>
      </c>
      <c r="S74" s="7">
        <f>+'Guarantee Security'!L60</f>
        <v>10014471.07</v>
      </c>
      <c r="T74" s="7"/>
      <c r="U74" s="7">
        <f>+'Guarantee Security'!N60</f>
        <v>175491859</v>
      </c>
      <c r="V74" s="7">
        <f>+'Guarantee Security'!O60</f>
        <v>19412205.129999999</v>
      </c>
      <c r="W74" s="7"/>
      <c r="X74" s="7">
        <f>+'Guarantee Security'!Q60</f>
        <v>0</v>
      </c>
      <c r="Y74" s="7">
        <f>+'Guarantee Security'!R60</f>
        <v>0</v>
      </c>
      <c r="Z74" s="7"/>
      <c r="AA74" s="7">
        <f>+'Guarantee Security'!T60</f>
        <v>2000</v>
      </c>
      <c r="AB74" s="17">
        <f>+'Guarantee Security'!U60</f>
        <v>0</v>
      </c>
    </row>
    <row r="75" spans="2:28">
      <c r="B75" s="8" t="s">
        <v>315</v>
      </c>
      <c r="C75" s="129" t="s">
        <v>316</v>
      </c>
      <c r="D75" s="28" t="s">
        <v>253</v>
      </c>
      <c r="E75" s="41">
        <v>33536</v>
      </c>
      <c r="F75" s="41">
        <v>33595</v>
      </c>
      <c r="G75" s="58">
        <v>37880</v>
      </c>
      <c r="H75" s="7">
        <f>+'Inter-American'!B60</f>
        <v>71852916.69195278</v>
      </c>
      <c r="I75" s="7">
        <f>+'Inter-American'!C60</f>
        <v>17935739.178558853</v>
      </c>
      <c r="J75" s="7">
        <f>+'Inter-American'!D60</f>
        <v>0</v>
      </c>
      <c r="K75" s="7">
        <f>+'Inter-American'!E60</f>
        <v>17983228.418814894</v>
      </c>
      <c r="L75" s="7">
        <f t="shared" si="7"/>
        <v>107771884.28932653</v>
      </c>
      <c r="M75" s="17"/>
      <c r="N75" s="7">
        <v>107771884.28932655</v>
      </c>
      <c r="O75" s="17">
        <f t="shared" si="8"/>
        <v>0</v>
      </c>
      <c r="R75" s="10">
        <f>+'Inter-American'!K60</f>
        <v>90759188</v>
      </c>
      <c r="S75" s="7">
        <f>+'Inter-American'!L60</f>
        <v>25834985.63335</v>
      </c>
      <c r="T75" s="7"/>
      <c r="U75" s="7">
        <f>+'Inter-American'!N60</f>
        <v>37166103</v>
      </c>
      <c r="V75" s="7">
        <f>+'Inter-American'!O60</f>
        <v>19867169.688979998</v>
      </c>
      <c r="W75" s="7"/>
      <c r="X75" s="7">
        <f>+'Inter-American'!Q60</f>
        <v>4032883</v>
      </c>
      <c r="Y75" s="7">
        <f>+'Inter-American'!R60</f>
        <v>643059.62766999996</v>
      </c>
      <c r="Z75" s="7"/>
      <c r="AA75" s="7">
        <f>+'Inter-American'!T60</f>
        <v>41826413</v>
      </c>
      <c r="AB75" s="17">
        <f>+'Inter-American'!U60</f>
        <v>15482766.470000001</v>
      </c>
    </row>
    <row r="76" spans="2:28">
      <c r="B76" s="8" t="s">
        <v>317</v>
      </c>
      <c r="C76" s="129" t="s">
        <v>318</v>
      </c>
      <c r="D76" s="28" t="s">
        <v>319</v>
      </c>
      <c r="E76" s="41">
        <v>33847</v>
      </c>
      <c r="F76" s="41">
        <v>34061</v>
      </c>
      <c r="G76" s="58">
        <v>38698</v>
      </c>
      <c r="H76" s="7">
        <f>+'Investment Life of America'!B60</f>
        <v>3599919.1307609417</v>
      </c>
      <c r="I76" s="7">
        <f>+'Investment Life of America'!C60</f>
        <v>12137484.62375614</v>
      </c>
      <c r="J76" s="7">
        <f>+'Investment Life of America'!D60</f>
        <v>16133.84</v>
      </c>
      <c r="K76" s="7">
        <f>+'Investment Life of America'!E60</f>
        <v>0</v>
      </c>
      <c r="L76" s="7">
        <f t="shared" si="7"/>
        <v>15753537.594517082</v>
      </c>
      <c r="M76" s="17"/>
      <c r="N76" s="7">
        <v>15753537.594517082</v>
      </c>
      <c r="O76" s="17">
        <f t="shared" si="8"/>
        <v>0</v>
      </c>
      <c r="R76" s="10">
        <f>+'Investment Life of America'!K60</f>
        <v>5270688</v>
      </c>
      <c r="S76" s="7">
        <f>+'Investment Life of America'!L60</f>
        <v>356691</v>
      </c>
      <c r="T76" s="7"/>
      <c r="U76" s="7">
        <f>+'Investment Life of America'!N60</f>
        <v>17846770</v>
      </c>
      <c r="V76" s="7">
        <f>+'Investment Life of America'!O60</f>
        <v>1325580.3500000001</v>
      </c>
      <c r="W76" s="7"/>
      <c r="X76" s="7">
        <f>+'Investment Life of America'!Q60</f>
        <v>0</v>
      </c>
      <c r="Y76" s="7">
        <f>+'Investment Life of America'!R60</f>
        <v>0</v>
      </c>
      <c r="Z76" s="7"/>
      <c r="AA76" s="7">
        <f>+'Investment Life of America'!T60</f>
        <v>0</v>
      </c>
      <c r="AB76" s="17">
        <f>+'Investment Life of America'!U60</f>
        <v>0</v>
      </c>
    </row>
    <row r="77" spans="2:28">
      <c r="B77" s="8" t="s">
        <v>320</v>
      </c>
      <c r="C77" s="129" t="s">
        <v>321</v>
      </c>
      <c r="D77" s="28" t="s">
        <v>322</v>
      </c>
      <c r="E77" s="41">
        <v>34012</v>
      </c>
      <c r="F77" s="41">
        <v>34564</v>
      </c>
      <c r="G77" s="58">
        <v>39426</v>
      </c>
      <c r="H77" s="7">
        <f>+'Kentucky Central'!B60</f>
        <v>-12573200.301395107</v>
      </c>
      <c r="I77" s="7">
        <f>+'Kentucky Central'!C60</f>
        <v>24428.301895116878</v>
      </c>
      <c r="J77" s="7">
        <f>+'Kentucky Central'!D60</f>
        <v>0</v>
      </c>
      <c r="K77" s="7">
        <f>+'Kentucky Central'!E60</f>
        <v>0</v>
      </c>
      <c r="L77" s="7">
        <f t="shared" si="7"/>
        <v>-12548771.99949999</v>
      </c>
      <c r="M77" s="17"/>
      <c r="N77" s="7">
        <v>-12550777.579499997</v>
      </c>
      <c r="O77" s="17">
        <f t="shared" si="8"/>
        <v>2005.5800000075251</v>
      </c>
      <c r="R77" s="10">
        <f>+'Kentucky Central'!K60</f>
        <v>122437040</v>
      </c>
      <c r="S77" s="7">
        <f>+'Kentucky Central'!L60</f>
        <v>92956402.418200001</v>
      </c>
      <c r="T77" s="7"/>
      <c r="U77" s="7">
        <f>+'Kentucky Central'!N60</f>
        <v>13028405</v>
      </c>
      <c r="V77" s="7">
        <f>+'Kentucky Central'!O60</f>
        <v>7287007.0312000001</v>
      </c>
      <c r="W77" s="7"/>
      <c r="X77" s="7">
        <f>+'Kentucky Central'!Q60</f>
        <v>141544</v>
      </c>
      <c r="Y77" s="7">
        <f>+'Kentucky Central'!R60</f>
        <v>161507.8406</v>
      </c>
      <c r="Z77" s="7"/>
      <c r="AA77" s="7">
        <f>+'Kentucky Central'!T60</f>
        <v>0</v>
      </c>
      <c r="AB77" s="17">
        <f>+'Kentucky Central'!U60</f>
        <v>0</v>
      </c>
    </row>
    <row r="78" spans="2:28">
      <c r="B78" s="8" t="s">
        <v>323</v>
      </c>
      <c r="C78" s="129" t="s">
        <v>324</v>
      </c>
      <c r="D78" s="28" t="s">
        <v>173</v>
      </c>
      <c r="E78" s="41">
        <v>33164</v>
      </c>
      <c r="F78" s="41">
        <v>33248</v>
      </c>
      <c r="G78" s="58">
        <v>37739</v>
      </c>
      <c r="H78" s="154" t="s">
        <v>325</v>
      </c>
      <c r="I78" s="154"/>
      <c r="J78" s="154"/>
      <c r="K78" s="154"/>
      <c r="L78" s="7">
        <v>0</v>
      </c>
      <c r="M78" s="17"/>
      <c r="N78" s="7">
        <v>0</v>
      </c>
      <c r="O78" s="17">
        <f t="shared" si="8"/>
        <v>0</v>
      </c>
      <c r="R78" s="10"/>
      <c r="S78" s="7"/>
      <c r="T78" s="7"/>
      <c r="U78" s="7"/>
      <c r="V78" s="7"/>
      <c r="W78" s="7"/>
      <c r="X78" s="7"/>
      <c r="Y78" s="7"/>
      <c r="Z78" s="7"/>
      <c r="AA78" s="7"/>
      <c r="AB78" s="17"/>
    </row>
    <row r="79" spans="2:28">
      <c r="B79" s="8" t="s">
        <v>326</v>
      </c>
      <c r="C79" s="129" t="s">
        <v>327</v>
      </c>
      <c r="D79" s="28" t="s">
        <v>319</v>
      </c>
      <c r="E79" s="41">
        <v>37474</v>
      </c>
      <c r="F79" s="41">
        <v>38260</v>
      </c>
      <c r="G79" s="58">
        <v>41261</v>
      </c>
      <c r="H79" s="7">
        <f>+'London Pac'!B60</f>
        <v>0</v>
      </c>
      <c r="I79" s="7">
        <f>+'London Pac'!C60</f>
        <v>96377518.827000171</v>
      </c>
      <c r="J79" s="7">
        <f>+'London Pac'!D60</f>
        <v>0</v>
      </c>
      <c r="K79" s="7">
        <f>+'London Pac'!E60</f>
        <v>0</v>
      </c>
      <c r="L79" s="7">
        <f t="shared" ref="L79:L96" si="9">SUM(H79:K79)</f>
        <v>96377518.827000171</v>
      </c>
      <c r="M79" s="17"/>
      <c r="N79" s="7">
        <v>97443240.467000186</v>
      </c>
      <c r="O79" s="17">
        <f t="shared" si="8"/>
        <v>-1065721.6400000155</v>
      </c>
      <c r="R79" s="10">
        <f>+'London Pac'!K60</f>
        <v>700638</v>
      </c>
      <c r="S79" s="7">
        <f>+'London Pac'!L60</f>
        <v>0</v>
      </c>
      <c r="T79" s="7"/>
      <c r="U79" s="7">
        <f>+'London Pac'!N60</f>
        <v>88015647</v>
      </c>
      <c r="V79" s="7">
        <f>+'London Pac'!O60</f>
        <v>8163000</v>
      </c>
      <c r="W79" s="7"/>
      <c r="X79" s="7">
        <f>+'London Pac'!Q60</f>
        <v>0</v>
      </c>
      <c r="Y79" s="7">
        <f>+'London Pac'!R60</f>
        <v>1716536</v>
      </c>
      <c r="Z79" s="7"/>
      <c r="AA79" s="7">
        <f>+'London Pac'!T60</f>
        <v>0</v>
      </c>
      <c r="AB79" s="17">
        <f>+'London Pac'!U60</f>
        <v>0</v>
      </c>
    </row>
    <row r="80" spans="2:28">
      <c r="B80" s="8" t="s">
        <v>328</v>
      </c>
      <c r="C80" s="129" t="s">
        <v>329</v>
      </c>
      <c r="D80" s="28" t="s">
        <v>330</v>
      </c>
      <c r="E80" s="41">
        <v>33415</v>
      </c>
      <c r="F80" s="41">
        <v>33476</v>
      </c>
      <c r="G80" s="58">
        <v>39623</v>
      </c>
      <c r="H80" s="7">
        <f>+'Midwest Life'!B60</f>
        <v>887611.37113826815</v>
      </c>
      <c r="I80" s="7">
        <f>+'Midwest Life'!C60</f>
        <v>32064908.506064095</v>
      </c>
      <c r="J80" s="7">
        <f>+'Midwest Life'!D60</f>
        <v>82803.616797636409</v>
      </c>
      <c r="K80" s="7">
        <f>+'Midwest Life'!E60</f>
        <v>0</v>
      </c>
      <c r="L80" s="7">
        <f t="shared" si="9"/>
        <v>33035323.493999999</v>
      </c>
      <c r="M80" s="17"/>
      <c r="N80" s="7">
        <v>33035323.493999995</v>
      </c>
      <c r="O80" s="17">
        <f t="shared" si="8"/>
        <v>0</v>
      </c>
      <c r="R80" s="10">
        <f>+'Midwest Life'!K60</f>
        <v>3798558</v>
      </c>
      <c r="S80" s="7">
        <f>+'Midwest Life'!L60</f>
        <v>1244000</v>
      </c>
      <c r="T80" s="7"/>
      <c r="U80" s="7">
        <f>+'Midwest Life'!N60</f>
        <v>75236595</v>
      </c>
      <c r="V80" s="7">
        <f>+'Midwest Life'!O60</f>
        <v>12991485</v>
      </c>
      <c r="W80" s="7"/>
      <c r="X80" s="7">
        <f>+'Midwest Life'!Q60</f>
        <v>4535768</v>
      </c>
      <c r="Y80" s="7">
        <f>+'Midwest Life'!R60</f>
        <v>725908</v>
      </c>
      <c r="Z80" s="7"/>
      <c r="AA80" s="7">
        <f>+'Midwest Life'!T60</f>
        <v>0</v>
      </c>
      <c r="AB80" s="17">
        <f>+'Midwest Life'!U60</f>
        <v>0</v>
      </c>
    </row>
    <row r="81" spans="2:28">
      <c r="B81" s="8" t="s">
        <v>331</v>
      </c>
      <c r="C81" s="129" t="s">
        <v>332</v>
      </c>
      <c r="D81" s="28" t="s">
        <v>333</v>
      </c>
      <c r="E81" s="41">
        <v>33435</v>
      </c>
      <c r="F81" s="41">
        <v>34276</v>
      </c>
      <c r="G81" s="58">
        <v>36341</v>
      </c>
      <c r="H81" s="7">
        <f>+'Mutual Benefit'!B60</f>
        <v>-350827.31706715497</v>
      </c>
      <c r="I81" s="7">
        <f>+'Mutual Benefit'!C60</f>
        <v>-1057076.3293977203</v>
      </c>
      <c r="J81" s="7">
        <f>+'Mutual Benefit'!D60</f>
        <v>0</v>
      </c>
      <c r="K81" s="7">
        <f>+'Mutual Benefit'!E60</f>
        <v>-163752.08353484937</v>
      </c>
      <c r="L81" s="7">
        <f t="shared" si="9"/>
        <v>-1571655.7299997245</v>
      </c>
      <c r="M81" s="17"/>
      <c r="N81" s="7">
        <v>-1571655.729999725</v>
      </c>
      <c r="O81" s="17">
        <f t="shared" si="8"/>
        <v>0</v>
      </c>
      <c r="R81" s="10">
        <f>+'Mutual Benefit'!K60</f>
        <v>113928847</v>
      </c>
      <c r="S81" s="7">
        <f>+'Mutual Benefit'!L60</f>
        <v>73393423.847253993</v>
      </c>
      <c r="T81" s="7"/>
      <c r="U81" s="7">
        <f>+'Mutual Benefit'!N60</f>
        <v>16270649</v>
      </c>
      <c r="V81" s="7">
        <f>+'Mutual Benefit'!O60</f>
        <v>12224649.138025999</v>
      </c>
      <c r="W81" s="7"/>
      <c r="X81" s="7">
        <f>+'Mutual Benefit'!Q60</f>
        <v>4132289</v>
      </c>
      <c r="Y81" s="7">
        <f>+'Mutual Benefit'!R60</f>
        <v>4836956.3147200001</v>
      </c>
      <c r="Z81" s="7"/>
      <c r="AA81" s="7">
        <f>+'Mutual Benefit'!T60</f>
        <v>2139524</v>
      </c>
      <c r="AB81" s="17">
        <f>+'Mutual Benefit'!U60</f>
        <v>1843252.74</v>
      </c>
    </row>
    <row r="82" spans="2:28">
      <c r="B82" s="8" t="s">
        <v>334</v>
      </c>
      <c r="C82" s="129" t="s">
        <v>335</v>
      </c>
      <c r="D82" s="28" t="s">
        <v>207</v>
      </c>
      <c r="E82" s="41">
        <v>33151</v>
      </c>
      <c r="F82" s="41">
        <v>33578</v>
      </c>
      <c r="G82" s="58">
        <v>38562</v>
      </c>
      <c r="H82" s="7">
        <f>+'Mutual Security'!B60</f>
        <v>3122403.5177147151</v>
      </c>
      <c r="I82" s="7">
        <f>+'Mutual Security'!C60</f>
        <v>11262883.437607286</v>
      </c>
      <c r="J82" s="7">
        <f>+'Mutual Security'!D60</f>
        <v>-6419739.3462788956</v>
      </c>
      <c r="K82" s="7">
        <f>+'Mutual Security'!E60</f>
        <v>4783471.830956893</v>
      </c>
      <c r="L82" s="7">
        <f t="shared" si="9"/>
        <v>12749019.439999998</v>
      </c>
      <c r="M82" s="17"/>
      <c r="N82" s="7">
        <v>12749019.440000001</v>
      </c>
      <c r="O82" s="17">
        <f t="shared" si="8"/>
        <v>0</v>
      </c>
      <c r="R82" s="10">
        <f>+'Mutual Security'!K60</f>
        <v>53434308</v>
      </c>
      <c r="S82" s="7">
        <f>+'Mutual Security'!L60</f>
        <v>16260675.3488</v>
      </c>
      <c r="T82" s="7"/>
      <c r="U82" s="7">
        <f>+'Mutual Security'!N60</f>
        <v>117647747</v>
      </c>
      <c r="V82" s="7">
        <f>+'Mutual Security'!O60</f>
        <v>23197622.820799999</v>
      </c>
      <c r="W82" s="7"/>
      <c r="X82" s="7">
        <f>+'Mutual Security'!Q60</f>
        <v>3972146</v>
      </c>
      <c r="Y82" s="7">
        <f>+'Mutual Security'!R60</f>
        <v>2032125.8303999999</v>
      </c>
      <c r="Z82" s="7"/>
      <c r="AA82" s="7">
        <f>+'Mutual Security'!T60</f>
        <v>96890</v>
      </c>
      <c r="AB82" s="17">
        <f>+'Mutual Security'!U60</f>
        <v>84000</v>
      </c>
    </row>
    <row r="83" spans="2:28">
      <c r="B83" s="8" t="s">
        <v>336</v>
      </c>
      <c r="C83" s="129" t="s">
        <v>337</v>
      </c>
      <c r="D83" s="28" t="s">
        <v>330</v>
      </c>
      <c r="E83" s="41">
        <v>36318</v>
      </c>
      <c r="F83" s="41">
        <v>36642</v>
      </c>
      <c r="G83" s="58">
        <v>38908</v>
      </c>
      <c r="H83" s="7">
        <f>+'National Affiliated'!B60</f>
        <v>1178804.0321994517</v>
      </c>
      <c r="I83" s="7">
        <f>+'National Affiliated'!C60</f>
        <v>121189.63514968037</v>
      </c>
      <c r="J83" s="7">
        <f>+'National Affiliated'!D60</f>
        <v>9483.2155093800102</v>
      </c>
      <c r="K83" s="7">
        <f>+'National Affiliated'!E60</f>
        <v>0</v>
      </c>
      <c r="L83" s="7">
        <f t="shared" si="9"/>
        <v>1309476.882858512</v>
      </c>
      <c r="M83" s="17"/>
      <c r="N83" s="7">
        <v>1309476.8828585122</v>
      </c>
      <c r="O83" s="17">
        <f t="shared" si="8"/>
        <v>0</v>
      </c>
      <c r="R83" s="10">
        <f>+'National Affiliated'!K60</f>
        <v>1144992</v>
      </c>
      <c r="S83" s="7">
        <f>+'National Affiliated'!L60</f>
        <v>41125</v>
      </c>
      <c r="T83" s="7"/>
      <c r="U83" s="7">
        <f>+'National Affiliated'!N60</f>
        <v>35389</v>
      </c>
      <c r="V83" s="7">
        <f>+'National Affiliated'!O60</f>
        <v>0</v>
      </c>
      <c r="W83" s="7"/>
      <c r="X83" s="7">
        <f>+'National Affiliated'!Q60</f>
        <v>606622</v>
      </c>
      <c r="Y83" s="7">
        <f>+'National Affiliated'!R60</f>
        <v>1257</v>
      </c>
      <c r="Z83" s="7"/>
      <c r="AA83" s="7">
        <f>+'National Affiliated'!T60</f>
        <v>0</v>
      </c>
      <c r="AB83" s="17">
        <f>+'National Affiliated'!U60</f>
        <v>0</v>
      </c>
    </row>
    <row r="84" spans="2:28">
      <c r="B84" s="8" t="s">
        <v>338</v>
      </c>
      <c r="C84" s="129" t="s">
        <v>339</v>
      </c>
      <c r="D84" s="28" t="s">
        <v>173</v>
      </c>
      <c r="E84" s="41">
        <v>34730</v>
      </c>
      <c r="F84" s="41">
        <v>35216</v>
      </c>
      <c r="G84" s="58">
        <v>38273</v>
      </c>
      <c r="H84" s="7">
        <f>+'Natl American'!B60</f>
        <v>2606.887431261508</v>
      </c>
      <c r="I84" s="7">
        <f>+'Natl American'!C60</f>
        <v>13137751.999779709</v>
      </c>
      <c r="J84" s="7">
        <f>+'Natl American'!D60</f>
        <v>6053.6682199886309</v>
      </c>
      <c r="K84" s="7">
        <f>+'Natl American'!E60</f>
        <v>0</v>
      </c>
      <c r="L84" s="7">
        <f t="shared" si="9"/>
        <v>13146412.55543096</v>
      </c>
      <c r="M84" s="17"/>
      <c r="N84" s="7">
        <v>13146412.555430958</v>
      </c>
      <c r="O84" s="17">
        <f t="shared" si="8"/>
        <v>0</v>
      </c>
      <c r="R84" s="10">
        <f>+'Natl American'!K60</f>
        <v>576171</v>
      </c>
      <c r="S84" s="7">
        <f>+'Natl American'!L60</f>
        <v>185418.76120000001</v>
      </c>
      <c r="T84" s="7"/>
      <c r="U84" s="7">
        <f>+'Natl American'!N60</f>
        <v>24494168</v>
      </c>
      <c r="V84" s="7">
        <f>+'Natl American'!O60</f>
        <v>42107927.9296</v>
      </c>
      <c r="W84" s="7"/>
      <c r="X84" s="7">
        <f>+'Natl American'!Q60</f>
        <v>1785577</v>
      </c>
      <c r="Y84" s="7">
        <f>+'Natl American'!R60</f>
        <v>1644030.4391999999</v>
      </c>
      <c r="Z84" s="7"/>
      <c r="AA84" s="7">
        <f>+'Natl American'!T60</f>
        <v>0</v>
      </c>
      <c r="AB84" s="17">
        <f>+'Natl American'!U60</f>
        <v>0</v>
      </c>
    </row>
    <row r="85" spans="2:28">
      <c r="B85" s="8" t="s">
        <v>340</v>
      </c>
      <c r="C85" s="129" t="s">
        <v>341</v>
      </c>
      <c r="D85" s="28" t="s">
        <v>333</v>
      </c>
      <c r="E85" s="41">
        <v>33486</v>
      </c>
      <c r="F85" s="41">
        <v>34193</v>
      </c>
      <c r="G85" s="58">
        <v>36168</v>
      </c>
      <c r="H85" s="7">
        <f>+'New Jersey Life'!B60</f>
        <v>81850530.519999996</v>
      </c>
      <c r="I85" s="7">
        <f>+'New Jersey Life'!C60</f>
        <v>0</v>
      </c>
      <c r="J85" s="7">
        <f>+'New Jersey Life'!D60</f>
        <v>0</v>
      </c>
      <c r="K85" s="7">
        <f>+'New Jersey Life'!E60</f>
        <v>0</v>
      </c>
      <c r="L85" s="7">
        <f t="shared" si="9"/>
        <v>81850530.519999996</v>
      </c>
      <c r="M85" s="17"/>
      <c r="N85" s="7">
        <v>81850530.519999996</v>
      </c>
      <c r="O85" s="17">
        <f t="shared" si="8"/>
        <v>0</v>
      </c>
      <c r="R85" s="10">
        <f>+'New Jersey Life'!K60</f>
        <v>88482480</v>
      </c>
      <c r="S85" s="7">
        <f>+'New Jersey Life'!L60</f>
        <v>2590816.2341999998</v>
      </c>
      <c r="T85" s="7"/>
      <c r="U85" s="7">
        <f>+'New Jersey Life'!N60</f>
        <v>20683</v>
      </c>
      <c r="V85" s="7">
        <f>+'New Jersey Life'!O60</f>
        <v>26777</v>
      </c>
      <c r="W85" s="7"/>
      <c r="X85" s="7">
        <f>+'New Jersey Life'!Q60</f>
        <v>449</v>
      </c>
      <c r="Y85" s="7">
        <f>+'New Jersey Life'!R60</f>
        <v>22.765800000006497</v>
      </c>
      <c r="Z85" s="7"/>
      <c r="AA85" s="7">
        <f>+'New Jersey Life'!T60</f>
        <v>0</v>
      </c>
      <c r="AB85" s="17">
        <f>+'New Jersey Life'!U60</f>
        <v>0</v>
      </c>
    </row>
    <row r="86" spans="2:28">
      <c r="B86" s="8" t="s">
        <v>342</v>
      </c>
      <c r="C86" s="129" t="s">
        <v>343</v>
      </c>
      <c r="D86" s="28" t="s">
        <v>292</v>
      </c>
      <c r="E86" s="41">
        <v>33745</v>
      </c>
      <c r="F86" s="41">
        <v>34515</v>
      </c>
      <c r="G86" s="58">
        <v>39022</v>
      </c>
      <c r="H86" s="7">
        <f>+'Old Colony Life'!B60</f>
        <v>526184.36068029027</v>
      </c>
      <c r="I86" s="7">
        <f>+'Old Colony Life'!C60</f>
        <v>10654436.859319638</v>
      </c>
      <c r="J86" s="7">
        <f>+'Old Colony Life'!D60</f>
        <v>0</v>
      </c>
      <c r="K86" s="7">
        <f>+'Old Colony Life'!E60</f>
        <v>0</v>
      </c>
      <c r="L86" s="7">
        <f t="shared" si="9"/>
        <v>11180621.219999928</v>
      </c>
      <c r="M86" s="17"/>
      <c r="N86" s="7">
        <v>11180621.219999932</v>
      </c>
      <c r="O86" s="17">
        <f t="shared" si="8"/>
        <v>0</v>
      </c>
      <c r="R86" s="10">
        <f>+'Old Colony Life'!K60</f>
        <v>859210</v>
      </c>
      <c r="S86" s="7">
        <f>+'Old Colony Life'!L60</f>
        <v>42450.53</v>
      </c>
      <c r="T86" s="7"/>
      <c r="U86" s="7">
        <f>+'Old Colony Life'!N60</f>
        <v>13560314</v>
      </c>
      <c r="V86" s="7">
        <f>+'Old Colony Life'!O60</f>
        <v>1359248.82</v>
      </c>
      <c r="W86" s="7"/>
      <c r="X86" s="7">
        <f>+'Old Colony Life'!Q60</f>
        <v>53013</v>
      </c>
      <c r="Y86" s="7">
        <f>+'Old Colony Life'!R60</f>
        <v>1</v>
      </c>
      <c r="Z86" s="7"/>
      <c r="AA86" s="7">
        <f>+'Old Colony Life'!T60</f>
        <v>0</v>
      </c>
      <c r="AB86" s="17">
        <f>+'Old Colony Life'!U60</f>
        <v>0</v>
      </c>
    </row>
    <row r="87" spans="2:28">
      <c r="B87" s="8" t="s">
        <v>344</v>
      </c>
      <c r="C87" s="129" t="s">
        <v>345</v>
      </c>
      <c r="D87" s="28" t="s">
        <v>346</v>
      </c>
      <c r="E87" s="41">
        <v>33653</v>
      </c>
      <c r="F87" s="41">
        <v>33924</v>
      </c>
      <c r="G87" s="58">
        <v>35373</v>
      </c>
      <c r="H87" s="7">
        <f>+'Old Faithful'!B60</f>
        <v>649614.14906469081</v>
      </c>
      <c r="I87" s="7">
        <f>+'Old Faithful'!C60</f>
        <v>760345.03605459479</v>
      </c>
      <c r="J87" s="7">
        <f>+'Old Faithful'!D60</f>
        <v>64158.493980714069</v>
      </c>
      <c r="K87" s="7">
        <f>+'Old Faithful'!E60</f>
        <v>0</v>
      </c>
      <c r="L87" s="7">
        <f t="shared" si="9"/>
        <v>1474117.6790999998</v>
      </c>
      <c r="M87" s="17"/>
      <c r="N87" s="7">
        <v>1474117.6791000001</v>
      </c>
      <c r="O87" s="17">
        <f t="shared" si="8"/>
        <v>0</v>
      </c>
      <c r="R87" s="10">
        <f>+'Old Faithful'!K60</f>
        <v>1985301</v>
      </c>
      <c r="S87" s="7">
        <f>+'Old Faithful'!L60</f>
        <v>0</v>
      </c>
      <c r="T87" s="7"/>
      <c r="U87" s="7">
        <f>+'Old Faithful'!N60</f>
        <v>3071552</v>
      </c>
      <c r="V87" s="7">
        <f>+'Old Faithful'!O60</f>
        <v>0</v>
      </c>
      <c r="W87" s="7"/>
      <c r="X87" s="7">
        <f>+'Old Faithful'!Q60</f>
        <v>35000</v>
      </c>
      <c r="Y87" s="7">
        <f>+'Old Faithful'!R60</f>
        <v>0</v>
      </c>
      <c r="Z87" s="7"/>
      <c r="AA87" s="7">
        <f>+'Old Faithful'!T60</f>
        <v>0</v>
      </c>
      <c r="AB87" s="17">
        <f>+'Old Faithful'!U60</f>
        <v>0</v>
      </c>
    </row>
    <row r="88" spans="2:28">
      <c r="B88" s="8" t="s">
        <v>347</v>
      </c>
      <c r="C88" s="129" t="s">
        <v>348</v>
      </c>
      <c r="D88" s="28" t="s">
        <v>193</v>
      </c>
      <c r="E88" s="41">
        <v>32853</v>
      </c>
      <c r="F88" s="41">
        <v>34465</v>
      </c>
      <c r="G88" s="58">
        <v>36524</v>
      </c>
      <c r="H88" s="7">
        <f>+'Pacific Standard'!B60</f>
        <v>12292075.87165805</v>
      </c>
      <c r="I88" s="7">
        <f>+'Pacific Standard'!C60</f>
        <v>16141195.658341948</v>
      </c>
      <c r="J88" s="7">
        <f>+'Pacific Standard'!D60</f>
        <v>0</v>
      </c>
      <c r="K88" s="7">
        <f>+'Pacific Standard'!E60</f>
        <v>0</v>
      </c>
      <c r="L88" s="7">
        <f t="shared" si="9"/>
        <v>28433271.529999997</v>
      </c>
      <c r="M88" s="17"/>
      <c r="N88" s="7">
        <v>28433271.530000005</v>
      </c>
      <c r="O88" s="17">
        <f t="shared" si="8"/>
        <v>0</v>
      </c>
      <c r="R88" s="10">
        <f>+'Pacific Standard'!K60</f>
        <v>19125582</v>
      </c>
      <c r="S88" s="7">
        <f>+'Pacific Standard'!L60</f>
        <v>1724917.1957</v>
      </c>
      <c r="T88" s="7"/>
      <c r="U88" s="7">
        <f>+'Pacific Standard'!N60</f>
        <v>14801323</v>
      </c>
      <c r="V88" s="7">
        <f>+'Pacific Standard'!O60</f>
        <v>323011.6201</v>
      </c>
      <c r="W88" s="7"/>
      <c r="X88" s="7">
        <f>+'Pacific Standard'!Q60</f>
        <v>30659</v>
      </c>
      <c r="Y88" s="7">
        <f>+'Pacific Standard'!R60</f>
        <v>3117.0942000000005</v>
      </c>
      <c r="Z88" s="7"/>
      <c r="AA88" s="7">
        <f>+'Pacific Standard'!T60</f>
        <v>0</v>
      </c>
      <c r="AB88" s="17">
        <f>+'Pacific Standard'!U60</f>
        <v>0</v>
      </c>
    </row>
    <row r="89" spans="2:28">
      <c r="B89" s="8" t="s">
        <v>349</v>
      </c>
      <c r="C89" s="129" t="s">
        <v>350</v>
      </c>
      <c r="D89" s="28" t="s">
        <v>204</v>
      </c>
      <c r="E89" s="41">
        <v>38366</v>
      </c>
      <c r="F89" s="41">
        <v>38420</v>
      </c>
      <c r="G89" s="58">
        <v>40469</v>
      </c>
      <c r="H89" s="7">
        <f>+'States General'!B60</f>
        <v>2000</v>
      </c>
      <c r="I89" s="7">
        <f>+'States General'!C60</f>
        <v>0</v>
      </c>
      <c r="J89" s="7">
        <f>+'States General'!D60</f>
        <v>4936099.47</v>
      </c>
      <c r="K89" s="7">
        <f>+'States General'!E60</f>
        <v>0</v>
      </c>
      <c r="L89" s="7">
        <f t="shared" si="9"/>
        <v>4938099.47</v>
      </c>
      <c r="M89" s="17"/>
      <c r="N89" s="7">
        <v>4938099.47</v>
      </c>
      <c r="O89" s="17">
        <f t="shared" si="8"/>
        <v>0</v>
      </c>
      <c r="R89" s="10">
        <f>+'States General'!K60</f>
        <v>226286</v>
      </c>
      <c r="S89" s="7">
        <f>+'States General'!L60</f>
        <v>0</v>
      </c>
      <c r="T89" s="7"/>
      <c r="U89" s="7">
        <f>+'States General'!N60</f>
        <v>0</v>
      </c>
      <c r="V89" s="7">
        <f>+'States General'!O60</f>
        <v>0</v>
      </c>
      <c r="W89" s="7"/>
      <c r="X89" s="7">
        <f>+'States General'!Q60</f>
        <v>3959304</v>
      </c>
      <c r="Y89" s="7">
        <f>+'States General'!R60</f>
        <v>0</v>
      </c>
      <c r="Z89" s="7"/>
      <c r="AA89" s="7">
        <f>+'States General'!T60</f>
        <v>0</v>
      </c>
      <c r="AB89" s="17">
        <f>+'States General'!U60</f>
        <v>0</v>
      </c>
    </row>
    <row r="90" spans="2:28">
      <c r="B90" s="8" t="s">
        <v>351</v>
      </c>
      <c r="C90" s="129" t="s">
        <v>352</v>
      </c>
      <c r="D90" s="28" t="s">
        <v>204</v>
      </c>
      <c r="E90" s="41">
        <v>36199</v>
      </c>
      <c r="F90" s="41">
        <v>36295</v>
      </c>
      <c r="G90" s="58">
        <v>37977</v>
      </c>
      <c r="H90" s="7">
        <f>+Statesman!B60</f>
        <v>0</v>
      </c>
      <c r="I90" s="7">
        <f>+Statesman!C60</f>
        <v>0</v>
      </c>
      <c r="J90" s="7">
        <f>+Statesman!D60</f>
        <v>4050017.1599999992</v>
      </c>
      <c r="K90" s="7">
        <f>+Statesman!E60</f>
        <v>0</v>
      </c>
      <c r="L90" s="7">
        <f t="shared" si="9"/>
        <v>4050017.1599999992</v>
      </c>
      <c r="M90" s="17"/>
      <c r="N90" s="7">
        <v>4050017.1599999992</v>
      </c>
      <c r="O90" s="17">
        <f t="shared" si="8"/>
        <v>0</v>
      </c>
      <c r="R90" s="10">
        <f>+Statesman!K60</f>
        <v>645876</v>
      </c>
      <c r="S90" s="7">
        <f>+Statesman!L60</f>
        <v>211787</v>
      </c>
      <c r="T90" s="7"/>
      <c r="U90" s="7">
        <f>+Statesman!N60</f>
        <v>0</v>
      </c>
      <c r="V90" s="7">
        <f>+Statesman!O60</f>
        <v>0</v>
      </c>
      <c r="W90" s="7"/>
      <c r="X90" s="7">
        <f>+Statesman!Q60</f>
        <v>11548200</v>
      </c>
      <c r="Y90" s="7">
        <f>+Statesman!R60</f>
        <v>2534083</v>
      </c>
      <c r="Z90" s="7"/>
      <c r="AA90" s="7">
        <f>+Statesman!T60</f>
        <v>0</v>
      </c>
      <c r="AB90" s="17">
        <f>+Statesman!U60</f>
        <v>0</v>
      </c>
    </row>
    <row r="91" spans="2:28">
      <c r="B91" s="8" t="s">
        <v>353</v>
      </c>
      <c r="C91" s="129" t="s">
        <v>354</v>
      </c>
      <c r="D91" s="28" t="s">
        <v>173</v>
      </c>
      <c r="E91" s="41">
        <v>34460</v>
      </c>
      <c r="F91" s="41">
        <v>34639</v>
      </c>
      <c r="G91" s="58">
        <v>38779</v>
      </c>
      <c r="H91" s="7">
        <f>+'Summit National'!B60</f>
        <v>3722702.4977268321</v>
      </c>
      <c r="I91" s="7">
        <f>+'Summit National'!C60</f>
        <v>787165.16227315052</v>
      </c>
      <c r="J91" s="7">
        <f>+'Summit National'!D60</f>
        <v>73031.100000000006</v>
      </c>
      <c r="K91" s="7">
        <f>+'Summit National'!E60</f>
        <v>0</v>
      </c>
      <c r="L91" s="7">
        <f t="shared" si="9"/>
        <v>4582898.7599999821</v>
      </c>
      <c r="M91" s="17"/>
      <c r="N91" s="7">
        <v>4582898.759999983</v>
      </c>
      <c r="O91" s="17">
        <f t="shared" si="8"/>
        <v>0</v>
      </c>
      <c r="R91" s="10">
        <f>+'Summit National'!K60</f>
        <v>71046715</v>
      </c>
      <c r="S91" s="7">
        <f>+'Summit National'!L60</f>
        <v>39378231.341363996</v>
      </c>
      <c r="T91" s="7"/>
      <c r="U91" s="7">
        <f>+'Summit National'!N60</f>
        <v>31672495</v>
      </c>
      <c r="V91" s="7">
        <f>+'Summit National'!O60</f>
        <v>12506699.048636001</v>
      </c>
      <c r="W91" s="7"/>
      <c r="X91" s="7">
        <f>+'Summit National'!Q60</f>
        <v>79818</v>
      </c>
      <c r="Y91" s="7">
        <f>+'Summit National'!R60</f>
        <v>111672</v>
      </c>
      <c r="Z91" s="7"/>
      <c r="AA91" s="7">
        <f>+'Summit National'!T60</f>
        <v>0</v>
      </c>
      <c r="AB91" s="17">
        <f>+'Summit National'!U60</f>
        <v>0</v>
      </c>
    </row>
    <row r="92" spans="2:28">
      <c r="B92" s="8" t="s">
        <v>355</v>
      </c>
      <c r="C92" s="129" t="s">
        <v>356</v>
      </c>
      <c r="D92" s="28" t="s">
        <v>253</v>
      </c>
      <c r="E92" s="41"/>
      <c r="F92" s="41">
        <v>34892</v>
      </c>
      <c r="G92" s="58">
        <v>36658</v>
      </c>
      <c r="H92" s="7">
        <f>+Supreme!B60</f>
        <v>33328.814309747249</v>
      </c>
      <c r="I92" s="7">
        <f>+Supreme!C60</f>
        <v>0</v>
      </c>
      <c r="J92" s="7">
        <f>+Supreme!D60</f>
        <v>11494.91569025275</v>
      </c>
      <c r="K92" s="7">
        <f>+Supreme!E60</f>
        <v>0</v>
      </c>
      <c r="L92" s="7">
        <f t="shared" si="9"/>
        <v>44823.729999999996</v>
      </c>
      <c r="M92" s="17"/>
      <c r="N92" s="7">
        <v>44823.729999999981</v>
      </c>
      <c r="O92" s="17">
        <f t="shared" si="8"/>
        <v>0</v>
      </c>
      <c r="R92" s="10">
        <f>+Supreme!K60</f>
        <v>80000</v>
      </c>
      <c r="S92" s="7">
        <f>+Supreme!L60</f>
        <v>54000</v>
      </c>
      <c r="T92" s="7"/>
      <c r="U92" s="7">
        <f>+Supreme!N60</f>
        <v>0</v>
      </c>
      <c r="V92" s="7">
        <f>+Supreme!O60</f>
        <v>0</v>
      </c>
      <c r="W92" s="7"/>
      <c r="X92" s="7">
        <f>+Supreme!Q60</f>
        <v>20000</v>
      </c>
      <c r="Y92" s="7">
        <f>+Supreme!R60</f>
        <v>24000</v>
      </c>
      <c r="Z92" s="7"/>
      <c r="AA92" s="7">
        <f>+Supreme!T60</f>
        <v>0</v>
      </c>
      <c r="AB92" s="17">
        <f>+Supreme!U60</f>
        <v>0</v>
      </c>
    </row>
    <row r="93" spans="2:28">
      <c r="B93" s="8" t="s">
        <v>357</v>
      </c>
      <c r="C93" s="129" t="s">
        <v>358</v>
      </c>
      <c r="D93" s="28" t="s">
        <v>359</v>
      </c>
      <c r="E93" s="41">
        <v>33179</v>
      </c>
      <c r="F93" s="41">
        <v>33265</v>
      </c>
      <c r="G93" s="58">
        <v>36143</v>
      </c>
      <c r="H93" s="7">
        <f>+Underwriters!B60</f>
        <v>0</v>
      </c>
      <c r="I93" s="7">
        <f>+Underwriters!C60</f>
        <v>0</v>
      </c>
      <c r="J93" s="7">
        <f>+Underwriters!D60</f>
        <v>8106994</v>
      </c>
      <c r="K93" s="7">
        <f>+Underwriters!E60</f>
        <v>0</v>
      </c>
      <c r="L93" s="7">
        <f t="shared" si="9"/>
        <v>8106994</v>
      </c>
      <c r="M93" s="17"/>
      <c r="N93" s="7">
        <v>8106994</v>
      </c>
      <c r="O93" s="17">
        <f t="shared" si="8"/>
        <v>0</v>
      </c>
      <c r="R93" s="10">
        <f>+Underwriters!K60</f>
        <v>136845</v>
      </c>
      <c r="S93" s="7">
        <f>+Underwriters!L60</f>
        <v>48177.093999999997</v>
      </c>
      <c r="T93" s="7"/>
      <c r="U93" s="7">
        <f>+Underwriters!N60</f>
        <v>514100</v>
      </c>
      <c r="V93" s="7">
        <f>+Underwriters!O60</f>
        <v>0</v>
      </c>
      <c r="W93" s="7"/>
      <c r="X93" s="7">
        <f>+Underwriters!Q60</f>
        <v>7083431</v>
      </c>
      <c r="Y93" s="7">
        <f>+Underwriters!R60</f>
        <v>1408959.2960000001</v>
      </c>
      <c r="Z93" s="7"/>
      <c r="AA93" s="7">
        <f>+Underwriters!T60</f>
        <v>0</v>
      </c>
      <c r="AB93" s="17">
        <f>+Underwriters!U60</f>
        <v>0</v>
      </c>
    </row>
    <row r="94" spans="2:28">
      <c r="B94" s="8" t="s">
        <v>360</v>
      </c>
      <c r="C94" s="129" t="s">
        <v>361</v>
      </c>
      <c r="D94" s="28" t="s">
        <v>234</v>
      </c>
      <c r="E94" s="41">
        <v>33872</v>
      </c>
      <c r="F94" s="41">
        <v>34012</v>
      </c>
      <c r="G94" s="58">
        <v>37568</v>
      </c>
      <c r="H94" s="7">
        <f>+Unison!B60</f>
        <v>3344192.9688403094</v>
      </c>
      <c r="I94" s="7">
        <f>+Unison!C60</f>
        <v>10066575.645620817</v>
      </c>
      <c r="J94" s="7">
        <f>+Unison!D60</f>
        <v>4151.4744524203061</v>
      </c>
      <c r="K94" s="7">
        <f>+Unison!E60</f>
        <v>0</v>
      </c>
      <c r="L94" s="7">
        <f t="shared" si="9"/>
        <v>13414920.088913549</v>
      </c>
      <c r="M94" s="17"/>
      <c r="N94" s="7">
        <v>13414920.088913549</v>
      </c>
      <c r="O94" s="17">
        <f t="shared" si="8"/>
        <v>0</v>
      </c>
      <c r="R94" s="10">
        <f>+Unison!K60</f>
        <v>12164294</v>
      </c>
      <c r="S94" s="7">
        <f>+Unison!L60</f>
        <v>4473210.9462700002</v>
      </c>
      <c r="T94" s="7"/>
      <c r="U94" s="7">
        <f>+Unison!N60</f>
        <v>9814075</v>
      </c>
      <c r="V94" s="7">
        <f>+Unison!O60</f>
        <v>1493192.4337299999</v>
      </c>
      <c r="W94" s="7"/>
      <c r="X94" s="7">
        <f>+Unison!Q60</f>
        <v>81022</v>
      </c>
      <c r="Y94" s="7">
        <f>+Unison!R60</f>
        <v>100117</v>
      </c>
      <c r="Z94" s="7"/>
      <c r="AA94" s="7">
        <f>+Unison!T60</f>
        <v>0</v>
      </c>
      <c r="AB94" s="17">
        <f>+Unison!U60</f>
        <v>0</v>
      </c>
    </row>
    <row r="95" spans="2:28">
      <c r="B95" s="8" t="s">
        <v>362</v>
      </c>
      <c r="C95" s="129" t="s">
        <v>363</v>
      </c>
      <c r="D95" s="28" t="s">
        <v>284</v>
      </c>
      <c r="E95" s="41">
        <v>34360</v>
      </c>
      <c r="F95" s="41">
        <v>34656</v>
      </c>
      <c r="G95" s="58">
        <v>37097</v>
      </c>
      <c r="H95" s="7">
        <f>+'United Republic'!B60</f>
        <v>13790.240892605381</v>
      </c>
      <c r="I95" s="7">
        <f>+'United Republic'!C60</f>
        <v>210.5235818558881</v>
      </c>
      <c r="J95" s="7">
        <f>+'United Republic'!D60</f>
        <v>0</v>
      </c>
      <c r="K95" s="7">
        <f>+'United Republic'!E60</f>
        <v>29057.635525538732</v>
      </c>
      <c r="L95" s="7">
        <f t="shared" si="9"/>
        <v>43058.400000000001</v>
      </c>
      <c r="M95" s="17"/>
      <c r="N95" s="7">
        <v>43058.400000000001</v>
      </c>
      <c r="O95" s="17">
        <f t="shared" si="8"/>
        <v>0</v>
      </c>
      <c r="R95" s="10">
        <f>+'United Republic'!K60</f>
        <v>57000</v>
      </c>
      <c r="S95" s="7">
        <f>+'United Republic'!L60</f>
        <v>0</v>
      </c>
      <c r="T95" s="7"/>
      <c r="U95" s="7">
        <f>+'United Republic'!N60</f>
        <v>0</v>
      </c>
      <c r="V95" s="7">
        <f>+'United Republic'!O60</f>
        <v>0</v>
      </c>
      <c r="W95" s="7"/>
      <c r="X95" s="7">
        <f>+'United Republic'!Q60</f>
        <v>0</v>
      </c>
      <c r="Y95" s="7">
        <f>+'United Republic'!R60</f>
        <v>0</v>
      </c>
      <c r="Z95" s="7"/>
      <c r="AA95" s="7">
        <f>+'United Republic'!T60</f>
        <v>0</v>
      </c>
      <c r="AB95" s="17">
        <f>+'United Republic'!U60</f>
        <v>0</v>
      </c>
    </row>
    <row r="96" spans="2:28">
      <c r="B96" s="8" t="s">
        <v>364</v>
      </c>
      <c r="C96" s="129" t="s">
        <v>365</v>
      </c>
      <c r="D96" s="28" t="s">
        <v>259</v>
      </c>
      <c r="E96" s="41">
        <v>35129</v>
      </c>
      <c r="F96" s="41">
        <v>36133</v>
      </c>
      <c r="G96" s="58">
        <v>41418</v>
      </c>
      <c r="H96" s="7">
        <f>+Universe!B60</f>
        <v>0</v>
      </c>
      <c r="I96" s="7">
        <f>+Universe!C60</f>
        <v>0</v>
      </c>
      <c r="J96" s="7">
        <f>+Universe!D60</f>
        <v>10420188.498</v>
      </c>
      <c r="K96" s="7">
        <f>+Universe!E60</f>
        <v>0</v>
      </c>
      <c r="L96" s="7">
        <f t="shared" si="9"/>
        <v>10420188.498</v>
      </c>
      <c r="M96" s="17"/>
      <c r="N96" s="7">
        <v>9891060.4379999992</v>
      </c>
      <c r="O96" s="17">
        <f t="shared" si="8"/>
        <v>529128.06000000052</v>
      </c>
      <c r="R96" s="10">
        <f>+Universe!K60</f>
        <v>122316</v>
      </c>
      <c r="S96" s="7">
        <f>+Universe!L60</f>
        <v>718.197</v>
      </c>
      <c r="T96" s="7"/>
      <c r="U96" s="7">
        <f>+Universe!N60</f>
        <v>5000</v>
      </c>
      <c r="V96" s="7">
        <f>+Universe!O60</f>
        <v>0</v>
      </c>
      <c r="W96" s="7"/>
      <c r="X96" s="7">
        <f>+Universe!Q60</f>
        <v>7662381</v>
      </c>
      <c r="Y96" s="7">
        <f>+Universe!R60</f>
        <v>851691.65300000005</v>
      </c>
      <c r="Z96" s="7"/>
      <c r="AA96" s="7">
        <f>+Universe!T60</f>
        <v>0</v>
      </c>
      <c r="AB96" s="17">
        <f>+Universe!U60</f>
        <v>0</v>
      </c>
    </row>
    <row r="97" spans="2:28" ht="6.95" customHeight="1" thickBot="1">
      <c r="B97" s="8"/>
      <c r="C97" s="129"/>
      <c r="D97" s="28"/>
      <c r="E97" s="41"/>
      <c r="F97" s="41"/>
      <c r="G97" s="58"/>
      <c r="H97" s="7"/>
      <c r="I97" s="7"/>
      <c r="J97" s="7"/>
      <c r="K97" s="7"/>
      <c r="L97" s="7"/>
      <c r="M97" s="17"/>
      <c r="N97" s="7"/>
      <c r="O97" s="17"/>
      <c r="R97" s="10"/>
      <c r="S97" s="7"/>
      <c r="T97" s="7"/>
      <c r="U97" s="7"/>
      <c r="V97" s="7"/>
      <c r="W97" s="7"/>
      <c r="X97" s="7"/>
      <c r="Y97" s="7"/>
      <c r="Z97" s="7"/>
      <c r="AA97" s="7"/>
      <c r="AB97" s="17"/>
    </row>
    <row r="98" spans="2:28" ht="15.75" thickBot="1">
      <c r="B98" s="43" t="s">
        <v>366</v>
      </c>
      <c r="C98" s="130"/>
      <c r="D98" s="44"/>
      <c r="E98" s="45"/>
      <c r="F98" s="45"/>
      <c r="G98" s="59"/>
      <c r="H98" s="46">
        <f t="shared" ref="H98:O98" si="10">SUM(H54:H97)</f>
        <v>229935761.07549235</v>
      </c>
      <c r="I98" s="46">
        <f t="shared" si="10"/>
        <v>568099072.87496376</v>
      </c>
      <c r="J98" s="46">
        <f t="shared" si="10"/>
        <v>107108974.26822948</v>
      </c>
      <c r="K98" s="46">
        <f t="shared" si="10"/>
        <v>22642359.52283673</v>
      </c>
      <c r="L98" s="46">
        <f t="shared" si="10"/>
        <v>927786167.74152207</v>
      </c>
      <c r="M98" s="47"/>
      <c r="N98" s="46">
        <f t="shared" si="10"/>
        <v>935429808.74688423</v>
      </c>
      <c r="O98" s="47">
        <f t="shared" si="10"/>
        <v>-7643641.0053620003</v>
      </c>
      <c r="R98" s="50">
        <f>SUM(R54:R97)</f>
        <v>816976824</v>
      </c>
      <c r="S98" s="46">
        <f>SUM(S54:S97)</f>
        <v>293523516.68782753</v>
      </c>
      <c r="T98" s="46"/>
      <c r="U98" s="46">
        <f>SUM(U54:U97)</f>
        <v>858181099</v>
      </c>
      <c r="V98" s="46">
        <f>SUM(V54:V97)</f>
        <v>233703913.96241039</v>
      </c>
      <c r="W98" s="46"/>
      <c r="X98" s="46">
        <f>SUM(X54:X97)</f>
        <v>255774124.5</v>
      </c>
      <c r="Y98" s="46">
        <f>SUM(Y54:Y97)</f>
        <v>68828956.939761996</v>
      </c>
      <c r="Z98" s="46"/>
      <c r="AA98" s="46">
        <f>SUM(AA54:AA97)</f>
        <v>227807138</v>
      </c>
      <c r="AB98" s="47">
        <f>SUM(AB54:AB97)</f>
        <v>91213911.999999985</v>
      </c>
    </row>
    <row r="99" spans="2:28" ht="15.75" thickBot="1"/>
    <row r="100" spans="2:28">
      <c r="B100" s="42" t="s">
        <v>368</v>
      </c>
      <c r="C100" s="128"/>
      <c r="D100" s="27"/>
      <c r="E100" s="39"/>
      <c r="F100" s="39"/>
      <c r="G100" s="57"/>
      <c r="H100" s="40"/>
      <c r="I100" s="40"/>
      <c r="J100" s="40"/>
      <c r="K100" s="40"/>
      <c r="L100" s="40"/>
      <c r="M100" s="38"/>
      <c r="N100" s="40"/>
      <c r="O100" s="38"/>
      <c r="R100" s="48"/>
      <c r="S100" s="40"/>
      <c r="T100" s="40"/>
      <c r="U100" s="40"/>
      <c r="V100" s="40"/>
      <c r="W100" s="40"/>
      <c r="X100" s="40"/>
      <c r="Y100" s="40"/>
      <c r="Z100" s="40"/>
      <c r="AA100" s="40"/>
      <c r="AB100" s="38"/>
    </row>
    <row r="101" spans="2:28" ht="6.95" customHeight="1">
      <c r="B101" s="8"/>
      <c r="C101" s="129"/>
      <c r="D101" s="28"/>
      <c r="E101" s="41"/>
      <c r="F101" s="41"/>
      <c r="G101" s="58"/>
      <c r="H101" s="7"/>
      <c r="I101" s="7"/>
      <c r="J101" s="7"/>
      <c r="K101" s="7"/>
      <c r="L101" s="7"/>
      <c r="M101" s="17"/>
      <c r="N101" s="7"/>
      <c r="O101" s="17"/>
      <c r="R101" s="10"/>
      <c r="S101" s="7"/>
      <c r="T101" s="7"/>
      <c r="U101" s="7"/>
      <c r="V101" s="7"/>
      <c r="W101" s="7"/>
      <c r="X101" s="7"/>
      <c r="Y101" s="7"/>
      <c r="Z101" s="7"/>
      <c r="AA101" s="7"/>
      <c r="AB101" s="17"/>
    </row>
    <row r="102" spans="2:28">
      <c r="B102" s="8" t="s">
        <v>369</v>
      </c>
      <c r="C102" s="129" t="s">
        <v>370</v>
      </c>
      <c r="D102" s="28" t="s">
        <v>292</v>
      </c>
      <c r="E102" s="41">
        <v>34578</v>
      </c>
      <c r="F102" s="41"/>
      <c r="G102" s="58">
        <v>36262</v>
      </c>
      <c r="H102" s="154" t="s">
        <v>371</v>
      </c>
      <c r="I102" s="154"/>
      <c r="J102" s="154"/>
      <c r="K102" s="154"/>
      <c r="L102" s="7">
        <f>SUM(H102:K102)</f>
        <v>0</v>
      </c>
      <c r="M102" s="17"/>
      <c r="N102" s="7">
        <v>0</v>
      </c>
      <c r="O102" s="17">
        <f t="shared" ref="O102:O108" si="11">+L102-N102</f>
        <v>0</v>
      </c>
      <c r="R102" s="10">
        <f>+'Confed Life &amp; Annty (CLIAC)'!K60</f>
        <v>0</v>
      </c>
      <c r="S102" s="7">
        <f>+'Confed Life &amp; Annty (CLIAC)'!L60</f>
        <v>0</v>
      </c>
      <c r="T102" s="7"/>
      <c r="U102" s="7">
        <f>+'Confed Life &amp; Annty (CLIAC)'!N60</f>
        <v>0</v>
      </c>
      <c r="V102" s="7">
        <f>+'Confed Life &amp; Annty (CLIAC)'!O60</f>
        <v>0</v>
      </c>
      <c r="W102" s="7"/>
      <c r="X102" s="7">
        <f>+'Confed Life &amp; Annty (CLIAC)'!Q60</f>
        <v>0</v>
      </c>
      <c r="Y102" s="7">
        <f>+'Confed Life &amp; Annty (CLIAC)'!R60</f>
        <v>0</v>
      </c>
      <c r="Z102" s="7"/>
      <c r="AA102" s="7">
        <f>+'Confed Life &amp; Annty (CLIAC)'!T60</f>
        <v>0</v>
      </c>
      <c r="AB102" s="17">
        <f>+'Confed Life &amp; Annty (CLIAC)'!U60</f>
        <v>0</v>
      </c>
    </row>
    <row r="103" spans="2:28">
      <c r="B103" s="8" t="s">
        <v>372</v>
      </c>
      <c r="C103" s="129" t="s">
        <v>373</v>
      </c>
      <c r="D103" s="28" t="s">
        <v>173</v>
      </c>
      <c r="E103" s="41">
        <v>33914</v>
      </c>
      <c r="F103" s="41" t="s">
        <v>374</v>
      </c>
      <c r="G103" s="58">
        <v>39724</v>
      </c>
      <c r="H103" s="7">
        <f>+'Fidelity Mutual'!B60</f>
        <v>1130722.6299904541</v>
      </c>
      <c r="I103" s="7">
        <f>+'Fidelity Mutual'!C60</f>
        <v>113818.91475644681</v>
      </c>
      <c r="J103" s="7">
        <f>+'Fidelity Mutual'!D60</f>
        <v>0</v>
      </c>
      <c r="K103" s="7">
        <f>+'Fidelity Mutual'!E60</f>
        <v>27990.345253099316</v>
      </c>
      <c r="L103" s="7">
        <f>SUM(H103:K103)</f>
        <v>1272531.8900000001</v>
      </c>
      <c r="M103" s="17"/>
      <c r="N103" s="7">
        <v>1272531.8900000004</v>
      </c>
      <c r="O103" s="17">
        <f t="shared" si="11"/>
        <v>0</v>
      </c>
      <c r="R103" s="10">
        <f>+'Fidelity Mutual'!K60</f>
        <v>41049</v>
      </c>
      <c r="S103" s="7">
        <f>+'Fidelity Mutual'!L60</f>
        <v>0</v>
      </c>
      <c r="T103" s="7"/>
      <c r="U103" s="7">
        <f>+'Fidelity Mutual'!N60</f>
        <v>3876</v>
      </c>
      <c r="V103" s="7">
        <f>+'Fidelity Mutual'!O60</f>
        <v>0</v>
      </c>
      <c r="W103" s="7"/>
      <c r="X103" s="7">
        <f>+'Fidelity Mutual'!Q60</f>
        <v>0</v>
      </c>
      <c r="Y103" s="7">
        <f>+'Fidelity Mutual'!R60</f>
        <v>0</v>
      </c>
      <c r="Z103" s="7"/>
      <c r="AA103" s="7">
        <f>+'Fidelity Mutual'!T60</f>
        <v>0</v>
      </c>
      <c r="AB103" s="17">
        <f>+'Fidelity Mutual'!U60</f>
        <v>0</v>
      </c>
    </row>
    <row r="104" spans="2:28">
      <c r="B104" s="8" t="s">
        <v>375</v>
      </c>
      <c r="C104" s="129" t="s">
        <v>376</v>
      </c>
      <c r="D104" s="28" t="s">
        <v>193</v>
      </c>
      <c r="E104" s="41">
        <v>33372</v>
      </c>
      <c r="F104" s="41"/>
      <c r="G104" s="58">
        <v>37439</v>
      </c>
      <c r="H104" s="7">
        <f>+'First Capital'!B60</f>
        <v>48717.667426843116</v>
      </c>
      <c r="I104" s="7">
        <f>+'First Capital'!C60</f>
        <v>4547.8825731568886</v>
      </c>
      <c r="J104" s="7">
        <f>+'First Capital'!D60</f>
        <v>0</v>
      </c>
      <c r="K104" s="7">
        <f>+'First Capital'!E60</f>
        <v>0</v>
      </c>
      <c r="L104" s="7">
        <f>SUM(H104:K104)</f>
        <v>53265.55</v>
      </c>
      <c r="M104" s="17"/>
      <c r="N104" s="7">
        <v>53265.550000000025</v>
      </c>
      <c r="O104" s="17">
        <f t="shared" si="11"/>
        <v>0</v>
      </c>
      <c r="R104" s="10">
        <f>+'First Capital'!K60</f>
        <v>611924</v>
      </c>
      <c r="S104" s="7">
        <f>+'First Capital'!L60</f>
        <v>17671</v>
      </c>
      <c r="T104" s="7"/>
      <c r="U104" s="7">
        <f>+'First Capital'!N60</f>
        <v>712595</v>
      </c>
      <c r="V104" s="7">
        <f>+'First Capital'!O60</f>
        <v>2463</v>
      </c>
      <c r="W104" s="7"/>
      <c r="X104" s="7">
        <f>+'First Capital'!Q60</f>
        <v>10</v>
      </c>
      <c r="Y104" s="7">
        <f>+'First Capital'!R60</f>
        <v>0</v>
      </c>
      <c r="Z104" s="7"/>
      <c r="AA104" s="7">
        <f>+'First Capital'!T60</f>
        <v>0</v>
      </c>
      <c r="AB104" s="17">
        <f>+'First Capital'!U60</f>
        <v>0</v>
      </c>
    </row>
    <row r="105" spans="2:28">
      <c r="B105" s="8" t="s">
        <v>377</v>
      </c>
      <c r="C105" s="129" t="s">
        <v>378</v>
      </c>
      <c r="D105" s="28" t="s">
        <v>234</v>
      </c>
      <c r="E105" s="41">
        <v>35587</v>
      </c>
      <c r="F105" s="41" t="s">
        <v>374</v>
      </c>
      <c r="G105" s="58">
        <v>37438</v>
      </c>
      <c r="H105" s="7">
        <f>+Midcontinent!B60</f>
        <v>366322.2642120797</v>
      </c>
      <c r="I105" s="7">
        <f>+Midcontinent!C60</f>
        <v>1431.9032416741577</v>
      </c>
      <c r="J105" s="7">
        <f>+Midcontinent!D60</f>
        <v>405.65254624624856</v>
      </c>
      <c r="K105" s="7">
        <f>+Midcontinent!E60</f>
        <v>0</v>
      </c>
      <c r="L105" s="7">
        <f>SUM(H105:K105)</f>
        <v>368159.82000000012</v>
      </c>
      <c r="M105" s="17"/>
      <c r="N105" s="7">
        <v>368159.82000000018</v>
      </c>
      <c r="O105" s="17">
        <f t="shared" si="11"/>
        <v>0</v>
      </c>
      <c r="R105" s="10">
        <f>+Midcontinent!K60</f>
        <v>9571</v>
      </c>
      <c r="S105" s="7">
        <f>+Midcontinent!L60</f>
        <v>0</v>
      </c>
      <c r="T105" s="7"/>
      <c r="U105" s="7">
        <f>+Midcontinent!N60</f>
        <v>0</v>
      </c>
      <c r="V105" s="7">
        <f>+Midcontinent!O60</f>
        <v>0</v>
      </c>
      <c r="W105" s="7"/>
      <c r="X105" s="7">
        <f>+Midcontinent!Q60</f>
        <v>0</v>
      </c>
      <c r="Y105" s="7">
        <f>+Midcontinent!R60</f>
        <v>0</v>
      </c>
      <c r="Z105" s="7"/>
      <c r="AA105" s="7">
        <f>+Midcontinent!T60</f>
        <v>0</v>
      </c>
      <c r="AB105" s="17">
        <f>+Midcontinent!U60</f>
        <v>0</v>
      </c>
    </row>
    <row r="106" spans="2:28">
      <c r="B106" s="8" t="s">
        <v>379</v>
      </c>
      <c r="C106" s="129" t="s">
        <v>380</v>
      </c>
      <c r="D106" s="28" t="s">
        <v>287</v>
      </c>
      <c r="E106" s="41">
        <v>38048</v>
      </c>
      <c r="F106" s="41"/>
      <c r="G106" s="58">
        <v>38730</v>
      </c>
      <c r="H106" s="154" t="s">
        <v>392</v>
      </c>
      <c r="I106" s="154"/>
      <c r="J106" s="154"/>
      <c r="K106" s="154"/>
      <c r="L106" s="7">
        <v>0</v>
      </c>
      <c r="M106" s="17"/>
      <c r="N106" s="7">
        <v>0</v>
      </c>
      <c r="O106" s="17">
        <f t="shared" si="11"/>
        <v>0</v>
      </c>
      <c r="R106" s="10"/>
      <c r="S106" s="7"/>
      <c r="T106" s="7"/>
      <c r="U106" s="7"/>
      <c r="V106" s="7"/>
      <c r="W106" s="7"/>
      <c r="X106" s="7"/>
      <c r="Y106" s="7"/>
      <c r="Z106" s="7"/>
      <c r="AA106" s="7"/>
      <c r="AB106" s="17"/>
    </row>
    <row r="107" spans="2:28">
      <c r="B107" s="8" t="s">
        <v>381</v>
      </c>
      <c r="C107" s="129" t="s">
        <v>382</v>
      </c>
      <c r="D107" s="28" t="s">
        <v>307</v>
      </c>
      <c r="E107" s="41">
        <v>36294</v>
      </c>
      <c r="F107" s="41" t="s">
        <v>374</v>
      </c>
      <c r="G107" s="58">
        <v>36509</v>
      </c>
      <c r="H107" s="7">
        <f>+Settlers!B60</f>
        <v>101244.24722669797</v>
      </c>
      <c r="I107" s="7">
        <f>+Settlers!C60</f>
        <v>0</v>
      </c>
      <c r="J107" s="7">
        <f>+Settlers!D60</f>
        <v>26320.752773302029</v>
      </c>
      <c r="K107" s="7">
        <f>+Settlers!E60</f>
        <v>0</v>
      </c>
      <c r="L107" s="7">
        <f>SUM(H107:K107)</f>
        <v>127565</v>
      </c>
      <c r="M107" s="17"/>
      <c r="N107" s="7">
        <v>127564.99999999999</v>
      </c>
      <c r="O107" s="17">
        <f t="shared" si="11"/>
        <v>0</v>
      </c>
      <c r="R107" s="10">
        <f>+Settlers!K60</f>
        <v>97500</v>
      </c>
      <c r="S107" s="7">
        <f>+Settlers!L60</f>
        <v>0</v>
      </c>
      <c r="T107" s="7"/>
      <c r="U107" s="7">
        <f>+Settlers!N60</f>
        <v>0</v>
      </c>
      <c r="V107" s="7">
        <f>+Settlers!O60</f>
        <v>0</v>
      </c>
      <c r="W107" s="7"/>
      <c r="X107" s="7">
        <f>+Settlers!Q60</f>
        <v>15000</v>
      </c>
      <c r="Y107" s="7">
        <f>+Settlers!R60</f>
        <v>0</v>
      </c>
      <c r="Z107" s="7"/>
      <c r="AA107" s="7">
        <f>+Settlers!T60</f>
        <v>0</v>
      </c>
      <c r="AB107" s="17">
        <f>+Settlers!U60</f>
        <v>0</v>
      </c>
    </row>
    <row r="108" spans="2:28">
      <c r="B108" s="8" t="s">
        <v>383</v>
      </c>
      <c r="C108" s="129" t="s">
        <v>384</v>
      </c>
      <c r="D108" s="28" t="s">
        <v>307</v>
      </c>
      <c r="E108" s="41">
        <v>39856</v>
      </c>
      <c r="F108" s="41"/>
      <c r="G108" s="58">
        <v>41037</v>
      </c>
      <c r="H108" s="7">
        <f>+Shenandoah!B60</f>
        <v>228565.39081425371</v>
      </c>
      <c r="I108" s="7">
        <f>+Shenandoah!C60</f>
        <v>186292.63454117411</v>
      </c>
      <c r="J108" s="7">
        <f>+Shenandoah!D60</f>
        <v>151601.64464457222</v>
      </c>
      <c r="K108" s="7">
        <f>+Shenandoah!E60</f>
        <v>0</v>
      </c>
      <c r="L108" s="7">
        <f>SUM(H108:K108)</f>
        <v>566459.67000000004</v>
      </c>
      <c r="M108" s="17"/>
      <c r="N108" s="7">
        <v>565148.91999999981</v>
      </c>
      <c r="O108" s="17">
        <f t="shared" si="11"/>
        <v>1310.7500000002328</v>
      </c>
      <c r="R108" s="10">
        <f>+Shenandoah!K60</f>
        <v>0</v>
      </c>
      <c r="S108" s="7">
        <f>+Shenandoah!L60</f>
        <v>0</v>
      </c>
      <c r="T108" s="7"/>
      <c r="U108" s="7">
        <f>+Shenandoah!N60</f>
        <v>0</v>
      </c>
      <c r="V108" s="7">
        <f>+Shenandoah!O60</f>
        <v>0</v>
      </c>
      <c r="W108" s="7"/>
      <c r="X108" s="7">
        <f>+Shenandoah!Q60</f>
        <v>0</v>
      </c>
      <c r="Y108" s="7">
        <f>+Shenandoah!R60</f>
        <v>0</v>
      </c>
      <c r="Z108" s="7"/>
      <c r="AA108" s="7">
        <f>+Shenandoah!T60</f>
        <v>0</v>
      </c>
      <c r="AB108" s="17">
        <f>+Shenandoah!U60</f>
        <v>0</v>
      </c>
    </row>
    <row r="109" spans="2:28" ht="6.95" customHeight="1" thickBot="1">
      <c r="B109" s="8"/>
      <c r="C109" s="129"/>
      <c r="D109" s="28"/>
      <c r="E109" s="41"/>
      <c r="F109" s="41"/>
      <c r="G109" s="58"/>
      <c r="H109" s="7"/>
      <c r="I109" s="7"/>
      <c r="J109" s="7"/>
      <c r="K109" s="7"/>
      <c r="L109" s="7"/>
      <c r="M109" s="17"/>
      <c r="N109" s="7"/>
      <c r="O109" s="17"/>
      <c r="R109" s="10"/>
      <c r="S109" s="7"/>
      <c r="T109" s="7"/>
      <c r="U109" s="7"/>
      <c r="V109" s="7"/>
      <c r="W109" s="7"/>
      <c r="X109" s="7"/>
      <c r="Y109" s="7"/>
      <c r="Z109" s="7"/>
      <c r="AA109" s="7"/>
      <c r="AB109" s="17"/>
    </row>
    <row r="110" spans="2:28" ht="15.75" thickBot="1">
      <c r="B110" s="43" t="s">
        <v>385</v>
      </c>
      <c r="C110" s="130"/>
      <c r="D110" s="44"/>
      <c r="E110" s="45"/>
      <c r="F110" s="45"/>
      <c r="G110" s="59"/>
      <c r="H110" s="46">
        <f t="shared" ref="H110:O110" si="12">SUM(H101:H109)</f>
        <v>1875572.1996703283</v>
      </c>
      <c r="I110" s="46">
        <f t="shared" si="12"/>
        <v>306091.33511245198</v>
      </c>
      <c r="J110" s="46">
        <f t="shared" si="12"/>
        <v>178328.0499641205</v>
      </c>
      <c r="K110" s="46">
        <f t="shared" si="12"/>
        <v>27990.345253099316</v>
      </c>
      <c r="L110" s="46">
        <f t="shared" si="12"/>
        <v>2387981.9300000002</v>
      </c>
      <c r="M110" s="47"/>
      <c r="N110" s="46">
        <f t="shared" si="12"/>
        <v>2386671.1800000006</v>
      </c>
      <c r="O110" s="47">
        <f t="shared" si="12"/>
        <v>1310.7500000002328</v>
      </c>
      <c r="R110" s="50">
        <f>SUM(R101:R109)</f>
        <v>760044</v>
      </c>
      <c r="S110" s="46">
        <f>SUM(S101:S109)</f>
        <v>17671</v>
      </c>
      <c r="T110" s="46"/>
      <c r="U110" s="46">
        <f>SUM(U101:U109)</f>
        <v>716471</v>
      </c>
      <c r="V110" s="46">
        <f>SUM(V101:V109)</f>
        <v>2463</v>
      </c>
      <c r="W110" s="46"/>
      <c r="X110" s="46">
        <f>SUM(X101:X109)</f>
        <v>15010</v>
      </c>
      <c r="Y110" s="46">
        <f>SUM(Y101:Y109)</f>
        <v>0</v>
      </c>
      <c r="Z110" s="46"/>
      <c r="AA110" s="46">
        <f>SUM(AA101:AA109)</f>
        <v>0</v>
      </c>
      <c r="AB110" s="47">
        <f>SUM(AB101:AB109)</f>
        <v>0</v>
      </c>
    </row>
    <row r="111" spans="2:28" ht="15.75" thickBot="1"/>
    <row r="112" spans="2:28" ht="15.75" thickBot="1">
      <c r="B112" s="43" t="s">
        <v>387</v>
      </c>
      <c r="C112" s="130"/>
      <c r="D112" s="44"/>
      <c r="E112" s="45"/>
      <c r="F112" s="45"/>
      <c r="G112" s="59"/>
      <c r="H112" s="46">
        <f t="shared" ref="H112:O112" si="13">+H12+H28+H51+H98+H110</f>
        <v>1936901431.3466837</v>
      </c>
      <c r="I112" s="46">
        <f t="shared" si="13"/>
        <v>3269094176.9556346</v>
      </c>
      <c r="J112" s="46">
        <f t="shared" si="13"/>
        <v>2707276229.944169</v>
      </c>
      <c r="K112" s="46">
        <f t="shared" si="13"/>
        <v>54244438.600958548</v>
      </c>
      <c r="L112" s="46">
        <f t="shared" si="13"/>
        <v>7967516276.8474455</v>
      </c>
      <c r="M112" s="47"/>
      <c r="N112" s="46">
        <f t="shared" si="13"/>
        <v>7917318593.7417669</v>
      </c>
      <c r="O112" s="47">
        <f t="shared" si="13"/>
        <v>50197683.105679214</v>
      </c>
      <c r="R112" s="50">
        <f>+R12+R28+R51+R98+R110</f>
        <v>2236527245</v>
      </c>
      <c r="S112" s="46">
        <f>+S12+S28+S51+S98+S110</f>
        <v>328290684.17595953</v>
      </c>
      <c r="T112" s="46"/>
      <c r="U112" s="46">
        <f>+U12+U28+U51+U98+U110</f>
        <v>2500432476</v>
      </c>
      <c r="V112" s="46">
        <f>+V12+V28+V51+V98+V110</f>
        <v>319847851.18427837</v>
      </c>
      <c r="W112" s="46"/>
      <c r="X112" s="46">
        <f>+X12+X28+X51+X98+X110</f>
        <v>378447540.5</v>
      </c>
      <c r="Y112" s="46">
        <f>+Y12+Y28+Y51+Y98+Y110</f>
        <v>94947978.939761996</v>
      </c>
      <c r="Z112" s="46"/>
      <c r="AA112" s="46">
        <f>+AA12+AA28+AA51+AA98+AA110</f>
        <v>278013015</v>
      </c>
      <c r="AB112" s="47">
        <f>+AB12+AB28+AB51+AB98+AB110</f>
        <v>111883438.81999999</v>
      </c>
    </row>
  </sheetData>
  <mergeCells count="10">
    <mergeCell ref="H102:K102"/>
    <mergeCell ref="H46:K46"/>
    <mergeCell ref="H78:K78"/>
    <mergeCell ref="H106:K106"/>
    <mergeCell ref="R3:S3"/>
    <mergeCell ref="U3:V3"/>
    <mergeCell ref="X3:Y3"/>
    <mergeCell ref="AA3:AB3"/>
    <mergeCell ref="B2:O2"/>
    <mergeCell ref="R2:AB2"/>
  </mergeCells>
  <printOptions horizontalCentered="1" verticalCentered="1"/>
  <pageMargins left="0.1" right="0.1" top="0.75" bottom="0.75" header="0.4" footer="0.4"/>
  <pageSetup paperSize="5" scale="50" orientation="landscape" r:id="rId1"/>
  <headerFooter>
    <oddHeader>&amp;L&amp;"Geneva,Bold"&amp;D 
&amp;F &amp;C&amp;"Geneva,Bold Italic"Overview Open and Closed Insolvencies
Estimated GA Costs
&amp;R&amp;"Geneva,Bold"UNAUDITED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rowBreaks count="1" manualBreakCount="1">
    <brk id="51"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75" zoomScaleNormal="75" workbookViewId="0">
      <selection activeCell="C43" sqref="C43"/>
    </sheetView>
  </sheetViews>
  <sheetFormatPr defaultRowHeight="15"/>
  <cols>
    <col min="1" max="1" width="17.7109375" bestFit="1" customWidth="1"/>
    <col min="2" max="2" width="9.28515625" bestFit="1" customWidth="1"/>
    <col min="3" max="3" width="9.85546875" bestFit="1" customWidth="1"/>
    <col min="4" max="4" width="15.140625" bestFit="1" customWidth="1"/>
    <col min="5" max="5" width="12" bestFit="1" customWidth="1"/>
    <col min="6" max="6" width="15.140625" bestFit="1" customWidth="1"/>
    <col min="7" max="7" width="2.7109375" customWidth="1"/>
    <col min="8" max="8" width="35.140625" bestFit="1" customWidth="1"/>
    <col min="9" max="9" width="15.140625" bestFit="1" customWidth="1"/>
  </cols>
  <sheetData>
    <row r="1" spans="1:9">
      <c r="A1" s="156" t="s">
        <v>183</v>
      </c>
      <c r="B1" s="157"/>
      <c r="C1" s="157"/>
      <c r="D1" s="157"/>
      <c r="E1" s="157"/>
      <c r="F1" s="157"/>
    </row>
    <row r="3" spans="1:9">
      <c r="B3" s="51"/>
      <c r="C3" s="51" t="s">
        <v>184</v>
      </c>
      <c r="D3" s="51"/>
      <c r="E3" s="51" t="s">
        <v>185</v>
      </c>
      <c r="F3" s="51"/>
    </row>
    <row r="4" spans="1:9">
      <c r="B4" s="51" t="s">
        <v>55</v>
      </c>
      <c r="C4" s="51" t="s">
        <v>186</v>
      </c>
      <c r="D4" s="51" t="s">
        <v>57</v>
      </c>
      <c r="E4" s="51" t="s">
        <v>186</v>
      </c>
      <c r="F4" s="51" t="s">
        <v>59</v>
      </c>
    </row>
    <row r="6" spans="1:9">
      <c r="A6" t="s">
        <v>0</v>
      </c>
      <c r="B6" s="3">
        <f>+'American Community'!B6+'American Network'!B6+'Monarch Life'!B6+'Pen  Treaty'!B6</f>
        <v>718.7390593546146</v>
      </c>
      <c r="C6" s="3">
        <f>+'American Community'!C6+'American Network'!C6+'Monarch Life'!C6+'Pen  Treaty'!C6</f>
        <v>714.2862002061006</v>
      </c>
      <c r="D6" s="3">
        <f>+'American Community'!D6+'American Network'!D6+'Monarch Life'!D6+'Pen  Treaty'!D6</f>
        <v>6427582.5856400616</v>
      </c>
      <c r="E6" s="3">
        <f>+'American Community'!E6+'American Network'!E6+'Monarch Life'!E6+'Pen  Treaty'!E6</f>
        <v>0</v>
      </c>
      <c r="F6" s="3">
        <f t="shared" ref="F6:F37" si="0">SUM(B6:E6)</f>
        <v>6429015.6108996226</v>
      </c>
      <c r="H6" t="s">
        <v>168</v>
      </c>
      <c r="I6" s="3">
        <f>+Summary!L7</f>
        <v>270932.72000000003</v>
      </c>
    </row>
    <row r="7" spans="1:9">
      <c r="A7" t="s">
        <v>1</v>
      </c>
      <c r="B7" s="3">
        <f>+'American Community'!B7+'American Network'!B7+'Monarch Life'!B7+'Pen  Treaty'!B7</f>
        <v>615.53508419347031</v>
      </c>
      <c r="C7" s="3">
        <f>+'American Community'!C7+'American Network'!C7+'Monarch Life'!C7+'Pen  Treaty'!C7</f>
        <v>2.6710635331569264</v>
      </c>
      <c r="D7" s="3">
        <f>+'American Community'!D7+'American Network'!D7+'Monarch Life'!D7+'Pen  Treaty'!D7</f>
        <v>654216.17024656443</v>
      </c>
      <c r="E7" s="3">
        <f>+'American Community'!E7+'American Network'!E7+'Monarch Life'!E7+'Pen  Treaty'!E7</f>
        <v>0</v>
      </c>
      <c r="F7" s="3">
        <f t="shared" si="0"/>
        <v>654834.37639429106</v>
      </c>
      <c r="H7" t="s">
        <v>171</v>
      </c>
      <c r="I7" s="3">
        <f>+Summary!L8</f>
        <v>299031652.33721685</v>
      </c>
    </row>
    <row r="8" spans="1:9">
      <c r="A8" t="s">
        <v>2</v>
      </c>
      <c r="B8" s="3">
        <f>+'American Community'!B8+'American Network'!B8+'Monarch Life'!B8+'Pen  Treaty'!B8</f>
        <v>4852.217155860747</v>
      </c>
      <c r="C8" s="3">
        <f>+'American Community'!C8+'American Network'!C8+'Monarch Life'!C8+'Pen  Treaty'!C8</f>
        <v>2006.0163061853088</v>
      </c>
      <c r="D8" s="3">
        <f>+'American Community'!D8+'American Network'!D8+'Monarch Life'!D8+'Pen  Treaty'!D8</f>
        <v>98358461.761916786</v>
      </c>
      <c r="E8" s="3">
        <f>+'American Community'!E8+'American Network'!E8+'Monarch Life'!E8+'Pen  Treaty'!E8</f>
        <v>0</v>
      </c>
      <c r="F8" s="3">
        <f t="shared" si="0"/>
        <v>98365319.995378837</v>
      </c>
      <c r="H8" t="s">
        <v>174</v>
      </c>
      <c r="I8" s="3">
        <f>+Summary!L9</f>
        <v>514785.51</v>
      </c>
    </row>
    <row r="9" spans="1:9">
      <c r="A9" t="s">
        <v>3</v>
      </c>
      <c r="B9" s="3">
        <f>+'American Community'!B9+'American Network'!B9+'Monarch Life'!B9+'Pen  Treaty'!B9</f>
        <v>852.86351775120431</v>
      </c>
      <c r="C9" s="3">
        <f>+'American Community'!C9+'American Network'!C9+'Monarch Life'!C9+'Pen  Treaty'!C9</f>
        <v>315.76508575337073</v>
      </c>
      <c r="D9" s="3">
        <f>+'American Community'!D9+'American Network'!D9+'Monarch Life'!D9+'Pen  Treaty'!D9</f>
        <v>4354178.2577167116</v>
      </c>
      <c r="E9" s="3">
        <f>+'American Community'!E9+'American Network'!E9+'Monarch Life'!E9+'Pen  Treaty'!E9</f>
        <v>0</v>
      </c>
      <c r="F9" s="3">
        <f t="shared" si="0"/>
        <v>4355346.8863202166</v>
      </c>
      <c r="H9" t="s">
        <v>177</v>
      </c>
      <c r="I9" s="3">
        <f>+Summary!L10</f>
        <v>2025428153.5829346</v>
      </c>
    </row>
    <row r="10" spans="1:9">
      <c r="A10" t="s">
        <v>4</v>
      </c>
      <c r="B10" s="3">
        <f>+'American Community'!B10+'American Network'!B10+'Monarch Life'!B10+'Pen  Treaty'!B10</f>
        <v>23951.124194256681</v>
      </c>
      <c r="C10" s="3">
        <f>+'American Community'!C10+'American Network'!C10+'Monarch Life'!C10+'Pen  Treaty'!C10</f>
        <v>4025.6741386990957</v>
      </c>
      <c r="D10" s="3">
        <f>+'American Community'!D10+'American Network'!D10+'Monarch Life'!D10+'Pen  Treaty'!D10</f>
        <v>371516531.03251147</v>
      </c>
      <c r="E10" s="3">
        <f>+'American Community'!E10+'American Network'!E10+'Monarch Life'!E10+'Pen  Treaty'!E10</f>
        <v>0</v>
      </c>
      <c r="F10" s="3">
        <f t="shared" si="0"/>
        <v>371544507.8308444</v>
      </c>
      <c r="I10" s="3"/>
    </row>
    <row r="11" spans="1:9">
      <c r="A11" t="s">
        <v>5</v>
      </c>
      <c r="B11" s="3">
        <f>+'American Community'!B11+'American Network'!B11+'Monarch Life'!B11+'Pen  Treaty'!B11</f>
        <v>4535.5187158832168</v>
      </c>
      <c r="C11" s="3">
        <f>+'American Community'!C11+'American Network'!C11+'Monarch Life'!C11+'Pen  Treaty'!C11</f>
        <v>1093.2636311017288</v>
      </c>
      <c r="D11" s="3">
        <f>+'American Community'!D11+'American Network'!D11+'Monarch Life'!D11+'Pen  Treaty'!D11</f>
        <v>47977601.390072547</v>
      </c>
      <c r="E11" s="3">
        <f>+'American Community'!E11+'American Network'!E11+'Monarch Life'!E11+'Pen  Treaty'!E11</f>
        <v>0</v>
      </c>
      <c r="F11" s="3">
        <f t="shared" si="0"/>
        <v>47983230.172419533</v>
      </c>
      <c r="H11" t="s">
        <v>59</v>
      </c>
      <c r="I11" s="3">
        <f>SUM(I6:I10)</f>
        <v>2325245524.1501513</v>
      </c>
    </row>
    <row r="12" spans="1:9">
      <c r="A12" t="s">
        <v>6</v>
      </c>
      <c r="B12" s="3">
        <f>+'American Community'!B12+'American Network'!B12+'Monarch Life'!B12+'Pen  Treaty'!B12</f>
        <v>5599.8459058843837</v>
      </c>
      <c r="C12" s="3">
        <f>+'American Community'!C12+'American Network'!C12+'Monarch Life'!C12+'Pen  Treaty'!C12</f>
        <v>1584.6552188848641</v>
      </c>
      <c r="D12" s="3">
        <f>+'American Community'!D12+'American Network'!D12+'Monarch Life'!D12+'Pen  Treaty'!D12</f>
        <v>26720925.76611729</v>
      </c>
      <c r="E12" s="3">
        <f>+'American Community'!E12+'American Network'!E12+'Monarch Life'!E12+'Pen  Treaty'!E12</f>
        <v>0</v>
      </c>
      <c r="F12" s="3">
        <f t="shared" si="0"/>
        <v>26728110.267242059</v>
      </c>
      <c r="H12" t="s">
        <v>182</v>
      </c>
      <c r="I12" s="3">
        <f>+F65</f>
        <v>2325245524.1501513</v>
      </c>
    </row>
    <row r="13" spans="1:9">
      <c r="A13" t="s">
        <v>7</v>
      </c>
      <c r="B13" s="3">
        <f>+'American Community'!B13+'American Network'!B13+'Monarch Life'!B13+'Pen  Treaty'!B13</f>
        <v>385.01845474191396</v>
      </c>
      <c r="C13" s="3">
        <f>+'American Community'!C13+'American Network'!C13+'Monarch Life'!C13+'Pen  Treaty'!C13</f>
        <v>154.19084230150816</v>
      </c>
      <c r="D13" s="3">
        <f>+'American Community'!D13+'American Network'!D13+'Monarch Life'!D13+'Pen  Treaty'!D13</f>
        <v>2750050.0057986034</v>
      </c>
      <c r="E13" s="3">
        <f>+'American Community'!E13+'American Network'!E13+'Monarch Life'!E13+'Pen  Treaty'!E13</f>
        <v>0</v>
      </c>
      <c r="F13" s="3">
        <f t="shared" si="0"/>
        <v>2750589.2150956467</v>
      </c>
      <c r="I13" s="3">
        <f>+I11-I12</f>
        <v>0</v>
      </c>
    </row>
    <row r="14" spans="1:9">
      <c r="A14" t="s">
        <v>8</v>
      </c>
      <c r="B14" s="3">
        <f>+'American Community'!B14+'American Network'!B14+'Monarch Life'!B14+'Pen  Treaty'!B14</f>
        <v>673.37987598730672</v>
      </c>
      <c r="C14" s="3">
        <f>+'American Community'!C14+'American Network'!C14+'Monarch Life'!C14+'Pen  Treaty'!C14</f>
        <v>147.26576618503441</v>
      </c>
      <c r="D14" s="3">
        <f>+'American Community'!D14+'American Network'!D14+'Monarch Life'!D14+'Pen  Treaty'!D14</f>
        <v>4879.2682382659787</v>
      </c>
      <c r="E14" s="3">
        <f>+'American Community'!E14+'American Network'!E14+'Monarch Life'!E14+'Pen  Treaty'!E14</f>
        <v>0</v>
      </c>
      <c r="F14" s="3">
        <f t="shared" si="0"/>
        <v>5699.9138804383201</v>
      </c>
    </row>
    <row r="15" spans="1:9">
      <c r="A15" t="s">
        <v>9</v>
      </c>
      <c r="B15" s="3">
        <f>+'American Community'!B15+'American Network'!B15+'Monarch Life'!B15+'Pen  Treaty'!B15</f>
        <v>14607.708749652373</v>
      </c>
      <c r="C15" s="3">
        <f>+'American Community'!C15+'American Network'!C15+'Monarch Life'!C15+'Pen  Treaty'!C15</f>
        <v>5979.6141593491411</v>
      </c>
      <c r="D15" s="3">
        <f>+'American Community'!D15+'American Network'!D15+'Monarch Life'!D15+'Pen  Treaty'!D15</f>
        <v>319779052.99961674</v>
      </c>
      <c r="E15" s="3">
        <f>+'American Community'!E15+'American Network'!E15+'Monarch Life'!E15+'Pen  Treaty'!E15</f>
        <v>0</v>
      </c>
      <c r="F15" s="3">
        <f t="shared" si="0"/>
        <v>319799640.32252574</v>
      </c>
    </row>
    <row r="16" spans="1:9">
      <c r="A16" t="s">
        <v>10</v>
      </c>
      <c r="B16" s="3">
        <f>+'American Community'!B16+'American Network'!B16+'Monarch Life'!B16+'Pen  Treaty'!B16</f>
        <v>1900.9222651068064</v>
      </c>
      <c r="C16" s="3">
        <f>+'American Community'!C16+'American Network'!C16+'Monarch Life'!C16+'Pen  Treaty'!C16</f>
        <v>1781.4005300504725</v>
      </c>
      <c r="D16" s="3">
        <f>+'American Community'!D16+'American Network'!D16+'Monarch Life'!D16+'Pen  Treaty'!D16</f>
        <v>56883005.326276451</v>
      </c>
      <c r="E16" s="3">
        <f>+'American Community'!E16+'American Network'!E16+'Monarch Life'!E16+'Pen  Treaty'!E16</f>
        <v>0</v>
      </c>
      <c r="F16" s="3">
        <f t="shared" si="0"/>
        <v>56886687.649071611</v>
      </c>
    </row>
    <row r="17" spans="1:6">
      <c r="A17" t="s">
        <v>11</v>
      </c>
      <c r="B17" s="3">
        <f>+'American Community'!B17+'American Network'!B17+'Monarch Life'!B17+'Pen  Treaty'!B17</f>
        <v>1468.528172853757</v>
      </c>
      <c r="C17" s="3">
        <f>+'American Community'!C17+'American Network'!C17+'Monarch Life'!C17+'Pen  Treaty'!C17</f>
        <v>221.28297731094094</v>
      </c>
      <c r="D17" s="3">
        <f>+'American Community'!D17+'American Network'!D17+'Monarch Life'!D17+'Pen  Treaty'!D17</f>
        <v>5559309.8828826854</v>
      </c>
      <c r="E17" s="3">
        <f>+'American Community'!E17+'American Network'!E17+'Monarch Life'!E17+'Pen  Treaty'!E17</f>
        <v>0</v>
      </c>
      <c r="F17" s="3">
        <f t="shared" si="0"/>
        <v>5560999.6940328497</v>
      </c>
    </row>
    <row r="18" spans="1:6">
      <c r="A18" t="s">
        <v>12</v>
      </c>
      <c r="B18" s="3">
        <f>+'American Community'!B18+'American Network'!B18+'Monarch Life'!B18+'Pen  Treaty'!B18</f>
        <v>522.61441025480201</v>
      </c>
      <c r="C18" s="3">
        <f>+'American Community'!C18+'American Network'!C18+'Monarch Life'!C18+'Pen  Treaty'!C18</f>
        <v>0.55807429445504741</v>
      </c>
      <c r="D18" s="3">
        <f>+'American Community'!D18+'American Network'!D18+'Monarch Life'!D18+'Pen  Treaty'!D18</f>
        <v>7116088.8487210199</v>
      </c>
      <c r="E18" s="3">
        <f>+'American Community'!E18+'American Network'!E18+'Monarch Life'!E18+'Pen  Treaty'!E18</f>
        <v>0</v>
      </c>
      <c r="F18" s="3">
        <f t="shared" si="0"/>
        <v>7116612.0212055696</v>
      </c>
    </row>
    <row r="19" spans="1:6">
      <c r="A19" t="s">
        <v>13</v>
      </c>
      <c r="B19" s="3">
        <f>+'American Community'!B19+'American Network'!B19+'Monarch Life'!B19+'Pen  Treaty'!B19</f>
        <v>7659.8133192765117</v>
      </c>
      <c r="C19" s="3">
        <f>+'American Community'!C19+'American Network'!C19+'Monarch Life'!C19+'Pen  Treaty'!C19</f>
        <v>2769.5616902603874</v>
      </c>
      <c r="D19" s="3">
        <f>+'American Community'!D19+'American Network'!D19+'Monarch Life'!D19+'Pen  Treaty'!D19</f>
        <v>76210058.595104963</v>
      </c>
      <c r="E19" s="3">
        <f>+'American Community'!E19+'American Network'!E19+'Monarch Life'!E19+'Pen  Treaty'!E19</f>
        <v>0</v>
      </c>
      <c r="F19" s="3">
        <f t="shared" si="0"/>
        <v>76220487.970114499</v>
      </c>
    </row>
    <row r="20" spans="1:6">
      <c r="A20" t="s">
        <v>14</v>
      </c>
      <c r="B20" s="3">
        <f>+'American Community'!B20+'American Network'!B20+'Monarch Life'!B20+'Pen  Treaty'!B20</f>
        <v>2809.2546841170529</v>
      </c>
      <c r="C20" s="3">
        <f>+'American Community'!C20+'American Network'!C20+'Monarch Life'!C20+'Pen  Treaty'!C20</f>
        <v>971.24225131341643</v>
      </c>
      <c r="D20" s="3">
        <f>+'American Community'!D20+'American Network'!D20+'Monarch Life'!D20+'Pen  Treaty'!D20</f>
        <v>19600527.175636567</v>
      </c>
      <c r="E20" s="3">
        <f>+'American Community'!E20+'American Network'!E20+'Monarch Life'!E20+'Pen  Treaty'!E20</f>
        <v>0</v>
      </c>
      <c r="F20" s="3">
        <f t="shared" si="0"/>
        <v>19604307.672571998</v>
      </c>
    </row>
    <row r="21" spans="1:6">
      <c r="A21" t="s">
        <v>15</v>
      </c>
      <c r="B21" s="3">
        <f>+'American Community'!B21+'American Network'!B21+'Monarch Life'!B21+'Pen  Treaty'!B21</f>
        <v>3219.9014901349456</v>
      </c>
      <c r="C21" s="3">
        <f>+'American Community'!C21+'American Network'!C21+'Monarch Life'!C21+'Pen  Treaty'!C21</f>
        <v>1004.1008312673115</v>
      </c>
      <c r="D21" s="3">
        <f>+'American Community'!D21+'American Network'!D21+'Monarch Life'!D21+'Pen  Treaty'!D21</f>
        <v>62332762.3252955</v>
      </c>
      <c r="E21" s="3">
        <f>+'American Community'!E21+'American Network'!E21+'Monarch Life'!E21+'Pen  Treaty'!E21</f>
        <v>0</v>
      </c>
      <c r="F21" s="3">
        <f t="shared" si="0"/>
        <v>62336986.3276169</v>
      </c>
    </row>
    <row r="22" spans="1:6">
      <c r="A22" t="s">
        <v>16</v>
      </c>
      <c r="B22" s="3">
        <f>+'American Community'!B22+'American Network'!B22+'Monarch Life'!B22+'Pen  Treaty'!B22</f>
        <v>2921.5749996839986</v>
      </c>
      <c r="C22" s="3">
        <f>+'American Community'!C22+'American Network'!C22+'Monarch Life'!C22+'Pen  Treaty'!C22</f>
        <v>972.75218129701204</v>
      </c>
      <c r="D22" s="3">
        <f>+'American Community'!D22+'American Network'!D22+'Monarch Life'!D22+'Pen  Treaty'!D22</f>
        <v>11413719.579520132</v>
      </c>
      <c r="E22" s="3">
        <f>+'American Community'!E22+'American Network'!E22+'Monarch Life'!E22+'Pen  Treaty'!E22</f>
        <v>0</v>
      </c>
      <c r="F22" s="3">
        <f t="shared" si="0"/>
        <v>11417613.906701114</v>
      </c>
    </row>
    <row r="23" spans="1:6">
      <c r="A23" t="s">
        <v>17</v>
      </c>
      <c r="B23" s="3">
        <f>+'American Community'!B23+'American Network'!B23+'Monarch Life'!B23+'Pen  Treaty'!B23</f>
        <v>660.65232348169798</v>
      </c>
      <c r="C23" s="3">
        <f>+'American Community'!C23+'American Network'!C23+'Monarch Life'!C23+'Pen  Treaty'!C23</f>
        <v>837.85532342319391</v>
      </c>
      <c r="D23" s="3">
        <f>+'American Community'!D23+'American Network'!D23+'Monarch Life'!D23+'Pen  Treaty'!D23</f>
        <v>23908601.130789939</v>
      </c>
      <c r="E23" s="3">
        <f>+'American Community'!E23+'American Network'!E23+'Monarch Life'!E23+'Pen  Treaty'!E23</f>
        <v>0</v>
      </c>
      <c r="F23" s="3">
        <f t="shared" si="0"/>
        <v>23910099.638436843</v>
      </c>
    </row>
    <row r="24" spans="1:6">
      <c r="A24" t="s">
        <v>18</v>
      </c>
      <c r="B24" s="3">
        <f>+'American Community'!B24+'American Network'!B24+'Monarch Life'!B24+'Pen  Treaty'!B24</f>
        <v>1480.6154361939405</v>
      </c>
      <c r="C24" s="3">
        <f>+'American Community'!C24+'American Network'!C24+'Monarch Life'!C24+'Pen  Treaty'!C24</f>
        <v>879.5987590836703</v>
      </c>
      <c r="D24" s="3">
        <f>+'American Community'!D24+'American Network'!D24+'Monarch Life'!D24+'Pen  Treaty'!D24</f>
        <v>10873509.421955768</v>
      </c>
      <c r="E24" s="3">
        <f>+'American Community'!E24+'American Network'!E24+'Monarch Life'!E24+'Pen  Treaty'!E24</f>
        <v>0</v>
      </c>
      <c r="F24" s="3">
        <f t="shared" si="0"/>
        <v>10875869.636151046</v>
      </c>
    </row>
    <row r="25" spans="1:6">
      <c r="A25" t="s">
        <v>19</v>
      </c>
      <c r="B25" s="3">
        <f>+'American Community'!B25+'American Network'!B25+'Monarch Life'!B25+'Pen  Treaty'!B25</f>
        <v>1139.8178497280742</v>
      </c>
      <c r="C25" s="3">
        <f>+'American Community'!C25+'American Network'!C25+'Monarch Life'!C25+'Pen  Treaty'!C25</f>
        <v>768.47286715626058</v>
      </c>
      <c r="D25" s="3">
        <f>+'American Community'!D25+'American Network'!D25+'Monarch Life'!D25+'Pen  Treaty'!D25</f>
        <v>952288.03824779962</v>
      </c>
      <c r="E25" s="3">
        <f>+'American Community'!E25+'American Network'!E25+'Monarch Life'!E25+'Pen  Treaty'!E25</f>
        <v>0</v>
      </c>
      <c r="F25" s="3">
        <f t="shared" si="0"/>
        <v>954196.32896468393</v>
      </c>
    </row>
    <row r="26" spans="1:6">
      <c r="A26" t="s">
        <v>20</v>
      </c>
      <c r="B26" s="3">
        <f>+'American Community'!B26+'American Network'!B26+'Monarch Life'!B26+'Pen  Treaty'!B26</f>
        <v>4507.28703916619</v>
      </c>
      <c r="C26" s="3">
        <f>+'American Community'!C26+'American Network'!C26+'Monarch Life'!C26+'Pen  Treaty'!C26</f>
        <v>1281.4963534090436</v>
      </c>
      <c r="D26" s="3">
        <f>+'American Community'!D26+'American Network'!D26+'Monarch Life'!D26+'Pen  Treaty'!D26</f>
        <v>26073557.409501206</v>
      </c>
      <c r="E26" s="3">
        <f>+'American Community'!E26+'American Network'!E26+'Monarch Life'!E26+'Pen  Treaty'!E26</f>
        <v>0</v>
      </c>
      <c r="F26" s="3">
        <f t="shared" si="0"/>
        <v>26079346.192893781</v>
      </c>
    </row>
    <row r="27" spans="1:6">
      <c r="A27" t="s">
        <v>21</v>
      </c>
      <c r="B27" s="3">
        <f>+'American Community'!B27+'American Network'!B27+'Monarch Life'!B27+'Pen  Treaty'!B27</f>
        <v>9636.8529948878167</v>
      </c>
      <c r="C27" s="3">
        <f>+'American Community'!C27+'American Network'!C27+'Monarch Life'!C27+'Pen  Treaty'!C27</f>
        <v>17109.09813861642</v>
      </c>
      <c r="D27" s="3">
        <f>+'American Community'!D27+'American Network'!D27+'Monarch Life'!D27+'Pen  Treaty'!D27</f>
        <v>628991.94816883968</v>
      </c>
      <c r="E27" s="3">
        <f>+'American Community'!E27+'American Network'!E27+'Monarch Life'!E27+'Pen  Treaty'!E27</f>
        <v>0</v>
      </c>
      <c r="F27" s="3">
        <f t="shared" si="0"/>
        <v>655737.89930234395</v>
      </c>
    </row>
    <row r="28" spans="1:6">
      <c r="A28" t="s">
        <v>22</v>
      </c>
      <c r="B28" s="3">
        <f>+'American Community'!B28+'American Network'!B28+'Monarch Life'!B28+'Pen  Treaty'!B28</f>
        <v>11307.604294296125</v>
      </c>
      <c r="C28" s="3">
        <f>+'American Community'!C28+'American Network'!C28+'Monarch Life'!C28+'Pen  Treaty'!C28</f>
        <v>2316.2945306511401</v>
      </c>
      <c r="D28" s="3">
        <f>+'American Community'!D28+'American Network'!D28+'Monarch Life'!D28+'Pen  Treaty'!D28</f>
        <v>28001871.965077896</v>
      </c>
      <c r="E28" s="3">
        <f>+'American Community'!E28+'American Network'!E28+'Monarch Life'!E28+'Pen  Treaty'!E28</f>
        <v>0</v>
      </c>
      <c r="F28" s="3">
        <f t="shared" si="0"/>
        <v>28015495.863902844</v>
      </c>
    </row>
    <row r="29" spans="1:6">
      <c r="A29" t="s">
        <v>23</v>
      </c>
      <c r="B29" s="3">
        <f>+'American Community'!B29+'American Network'!B29+'Monarch Life'!B29+'Pen  Treaty'!B29</f>
        <v>3786.6312293142646</v>
      </c>
      <c r="C29" s="3">
        <f>+'American Community'!C29+'American Network'!C29+'Monarch Life'!C29+'Pen  Treaty'!C29</f>
        <v>1823.5716488151106</v>
      </c>
      <c r="D29" s="3">
        <f>+'American Community'!D29+'American Network'!D29+'Monarch Life'!D29+'Pen  Treaty'!D29</f>
        <v>4062139.5308673233</v>
      </c>
      <c r="E29" s="3">
        <f>+'American Community'!E29+'American Network'!E29+'Monarch Life'!E29+'Pen  Treaty'!E29</f>
        <v>0</v>
      </c>
      <c r="F29" s="3">
        <f t="shared" si="0"/>
        <v>4067749.7337454525</v>
      </c>
    </row>
    <row r="30" spans="1:6">
      <c r="A30" t="s">
        <v>24</v>
      </c>
      <c r="B30" s="3">
        <f>+'American Community'!B30+'American Network'!B30+'Monarch Life'!B30+'Pen  Treaty'!B30</f>
        <v>299.21257610159597</v>
      </c>
      <c r="C30" s="3">
        <f>+'American Community'!C30+'American Network'!C30+'Monarch Life'!C30+'Pen  Treaty'!C30</f>
        <v>511.78216212119145</v>
      </c>
      <c r="D30" s="3">
        <f>+'American Community'!D30+'American Network'!D30+'Monarch Life'!D30+'Pen  Treaty'!D30</f>
        <v>6259398.269548038</v>
      </c>
      <c r="E30" s="3">
        <f>+'American Community'!E30+'American Network'!E30+'Monarch Life'!E30+'Pen  Treaty'!E30</f>
        <v>0</v>
      </c>
      <c r="F30" s="3">
        <f t="shared" si="0"/>
        <v>6260209.2642862611</v>
      </c>
    </row>
    <row r="31" spans="1:6">
      <c r="A31" t="s">
        <v>25</v>
      </c>
      <c r="B31" s="3">
        <f>+'American Community'!B31+'American Network'!B31+'Monarch Life'!B31+'Pen  Treaty'!B31</f>
        <v>4062.6492232813271</v>
      </c>
      <c r="C31" s="3">
        <f>+'American Community'!C31+'American Network'!C31+'Monarch Life'!C31+'Pen  Treaty'!C31</f>
        <v>782.36996021771347</v>
      </c>
      <c r="D31" s="3">
        <f>+'American Community'!D31+'American Network'!D31+'Monarch Life'!D31+'Pen  Treaty'!D31</f>
        <v>10361884.383232057</v>
      </c>
      <c r="E31" s="3">
        <f>+'American Community'!E31+'American Network'!E31+'Monarch Life'!E31+'Pen  Treaty'!E31</f>
        <v>0</v>
      </c>
      <c r="F31" s="3">
        <f t="shared" si="0"/>
        <v>10366729.402415557</v>
      </c>
    </row>
    <row r="32" spans="1:6">
      <c r="A32" t="s">
        <v>26</v>
      </c>
      <c r="B32" s="3">
        <f>+'American Community'!B32+'American Network'!B32+'Monarch Life'!B32+'Pen  Treaty'!B32</f>
        <v>528.63196368683487</v>
      </c>
      <c r="C32" s="3">
        <f>+'American Community'!C32+'American Network'!C32+'Monarch Life'!C32+'Pen  Treaty'!C32</f>
        <v>240.37681126153086</v>
      </c>
      <c r="D32" s="3">
        <f>+'American Community'!D32+'American Network'!D32+'Monarch Life'!D32+'Pen  Treaty'!D32</f>
        <v>3621596.7575847153</v>
      </c>
      <c r="E32" s="3">
        <f>+'American Community'!E32+'American Network'!E32+'Monarch Life'!E32+'Pen  Treaty'!E32</f>
        <v>0</v>
      </c>
      <c r="F32" s="3">
        <f t="shared" si="0"/>
        <v>3622365.7663596636</v>
      </c>
    </row>
    <row r="33" spans="1:6">
      <c r="A33" t="s">
        <v>27</v>
      </c>
      <c r="B33" s="3">
        <f>+'American Community'!B33+'American Network'!B33+'Monarch Life'!B33+'Pen  Treaty'!B33</f>
        <v>2211.5119947485769</v>
      </c>
      <c r="C33" s="3">
        <f>+'American Community'!C33+'American Network'!C33+'Monarch Life'!C33+'Pen  Treaty'!C33</f>
        <v>584.41592271808668</v>
      </c>
      <c r="D33" s="3">
        <f>+'American Community'!D33+'American Network'!D33+'Monarch Life'!D33+'Pen  Treaty'!D33</f>
        <v>21589251.175552409</v>
      </c>
      <c r="E33" s="3">
        <f>+'American Community'!E33+'American Network'!E33+'Monarch Life'!E33+'Pen  Treaty'!E33</f>
        <v>0</v>
      </c>
      <c r="F33" s="3">
        <f t="shared" si="0"/>
        <v>21592047.103469875</v>
      </c>
    </row>
    <row r="34" spans="1:6">
      <c r="A34" t="s">
        <v>28</v>
      </c>
      <c r="B34" s="3">
        <f>+'American Community'!B34+'American Network'!B34+'Monarch Life'!B34+'Pen  Treaty'!B34</f>
        <v>1609.1022631529431</v>
      </c>
      <c r="C34" s="3">
        <f>+'American Community'!C34+'American Network'!C34+'Monarch Life'!C34+'Pen  Treaty'!C34</f>
        <v>457.82954735760808</v>
      </c>
      <c r="D34" s="3">
        <f>+'American Community'!D34+'American Network'!D34+'Monarch Life'!D34+'Pen  Treaty'!D34</f>
        <v>4599072.1551935952</v>
      </c>
      <c r="E34" s="3">
        <f>+'American Community'!E34+'American Network'!E34+'Monarch Life'!E34+'Pen  Treaty'!E34</f>
        <v>0</v>
      </c>
      <c r="F34" s="3">
        <f t="shared" si="0"/>
        <v>4601139.0870041056</v>
      </c>
    </row>
    <row r="35" spans="1:6">
      <c r="A35" t="s">
        <v>29</v>
      </c>
      <c r="B35" s="3">
        <f>+'American Community'!B35+'American Network'!B35+'Monarch Life'!B35+'Pen  Treaty'!B35</f>
        <v>1553.3189560776423</v>
      </c>
      <c r="C35" s="3">
        <f>+'American Community'!C35+'American Network'!C35+'Monarch Life'!C35+'Pen  Treaty'!C35</f>
        <v>397.73615948716457</v>
      </c>
      <c r="D35" s="3">
        <f>+'American Community'!D35+'American Network'!D35+'Monarch Life'!D35+'Pen  Treaty'!D35</f>
        <v>5387239.8657595199</v>
      </c>
      <c r="E35" s="3">
        <f>+'American Community'!E35+'American Network'!E35+'Monarch Life'!E35+'Pen  Treaty'!E35</f>
        <v>0</v>
      </c>
      <c r="F35" s="3">
        <f t="shared" si="0"/>
        <v>5389190.9208750846</v>
      </c>
    </row>
    <row r="36" spans="1:6">
      <c r="A36" t="s">
        <v>30</v>
      </c>
      <c r="B36" s="3">
        <f>+'American Community'!B36+'American Network'!B36+'Monarch Life'!B36+'Pen  Treaty'!B36</f>
        <v>6383.9168191794734</v>
      </c>
      <c r="C36" s="3">
        <f>+'American Community'!C36+'American Network'!C36+'Monarch Life'!C36+'Pen  Treaty'!C36</f>
        <v>4769.4809043875857</v>
      </c>
      <c r="D36" s="3">
        <f>+'American Community'!D36+'American Network'!D36+'Monarch Life'!D36+'Pen  Treaty'!D36</f>
        <v>167801234.34592673</v>
      </c>
      <c r="E36" s="3">
        <f>+'American Community'!E36+'American Network'!E36+'Monarch Life'!E36+'Pen  Treaty'!E36</f>
        <v>0</v>
      </c>
      <c r="F36" s="3">
        <f t="shared" si="0"/>
        <v>167812387.74365029</v>
      </c>
    </row>
    <row r="37" spans="1:6">
      <c r="A37" t="s">
        <v>31</v>
      </c>
      <c r="B37" s="3">
        <f>+'American Community'!B37+'American Network'!B37+'Monarch Life'!B37+'Pen  Treaty'!B37</f>
        <v>1831.6454713180681</v>
      </c>
      <c r="C37" s="3">
        <f>+'American Community'!C37+'American Network'!C37+'Monarch Life'!C37+'Pen  Treaty'!C37</f>
        <v>355.94773886603713</v>
      </c>
      <c r="D37" s="3">
        <f>+'American Community'!D37+'American Network'!D37+'Monarch Life'!D37+'Pen  Treaty'!D37</f>
        <v>8256337.2111058496</v>
      </c>
      <c r="E37" s="3">
        <f>+'American Community'!E37+'American Network'!E37+'Monarch Life'!E37+'Pen  Treaty'!E37</f>
        <v>0</v>
      </c>
      <c r="F37" s="3">
        <f t="shared" si="0"/>
        <v>8258524.8043160336</v>
      </c>
    </row>
    <row r="38" spans="1:6">
      <c r="A38" t="s">
        <v>32</v>
      </c>
      <c r="B38" s="3">
        <f>+'American Community'!B38+'American Network'!B38+'Monarch Life'!B38+'Pen  Treaty'!B38</f>
        <v>27001.493744108771</v>
      </c>
      <c r="C38" s="3">
        <f>+'American Community'!C38+'American Network'!C38+'Monarch Life'!C38+'Pen  Treaty'!C38</f>
        <v>16204.642254971197</v>
      </c>
      <c r="D38" s="3">
        <f>+'American Community'!D38+'American Network'!D38+'Monarch Life'!D38+'Pen  Treaty'!D38</f>
        <v>39817.730548172418</v>
      </c>
      <c r="E38" s="3">
        <f>+'American Community'!E38+'American Network'!E38+'Monarch Life'!E38+'Pen  Treaty'!E38</f>
        <v>0</v>
      </c>
      <c r="F38" s="3">
        <f t="shared" ref="F38:F58" si="1">SUM(B38:E38)</f>
        <v>83023.866547252386</v>
      </c>
    </row>
    <row r="39" spans="1:6">
      <c r="A39" t="s">
        <v>33</v>
      </c>
      <c r="B39" s="3">
        <f>+'American Community'!B39+'American Network'!B39+'Monarch Life'!B39+'Pen  Treaty'!B39</f>
        <v>3101.9617366222801</v>
      </c>
      <c r="C39" s="3">
        <f>+'American Community'!C39+'American Network'!C39+'Monarch Life'!C39+'Pen  Treaty'!C39</f>
        <v>1428.4778667992389</v>
      </c>
      <c r="D39" s="3">
        <f>+'American Community'!D39+'American Network'!D39+'Monarch Life'!D39+'Pen  Treaty'!D39</f>
        <v>83566209.375468045</v>
      </c>
      <c r="E39" s="3">
        <f>+'American Community'!E39+'American Network'!E39+'Monarch Life'!E39+'Pen  Treaty'!E39</f>
        <v>0</v>
      </c>
      <c r="F39" s="3">
        <f t="shared" si="1"/>
        <v>83570739.815071464</v>
      </c>
    </row>
    <row r="40" spans="1:6">
      <c r="A40" t="s">
        <v>34</v>
      </c>
      <c r="B40" s="3">
        <f>+'American Community'!B40+'American Network'!B40+'Monarch Life'!B40+'Pen  Treaty'!B40</f>
        <v>106.36386614389909</v>
      </c>
      <c r="C40" s="3">
        <f>+'American Community'!C40+'American Network'!C40+'Monarch Life'!C40+'Pen  Treaty'!C40</f>
        <v>594.97630521993585</v>
      </c>
      <c r="D40" s="3">
        <f>+'American Community'!D40+'American Network'!D40+'Monarch Life'!D40+'Pen  Treaty'!D40</f>
        <v>2455705.8248760649</v>
      </c>
      <c r="E40" s="3">
        <f>+'American Community'!E40+'American Network'!E40+'Monarch Life'!E40+'Pen  Treaty'!E40</f>
        <v>0</v>
      </c>
      <c r="F40" s="3">
        <f t="shared" si="1"/>
        <v>2456407.1650474286</v>
      </c>
    </row>
    <row r="41" spans="1:6">
      <c r="A41" t="s">
        <v>35</v>
      </c>
      <c r="B41" s="3">
        <f>+'American Community'!B41+'American Network'!B41+'Monarch Life'!B41+'Pen  Treaty'!B41</f>
        <v>7332.7317885316343</v>
      </c>
      <c r="C41" s="3">
        <f>+'American Community'!C41+'American Network'!C41+'Monarch Life'!C41+'Pen  Treaty'!C41</f>
        <v>1856.9563572218392</v>
      </c>
      <c r="D41" s="3">
        <f>+'American Community'!D41+'American Network'!D41+'Monarch Life'!D41+'Pen  Treaty'!D41</f>
        <v>23725864.55211303</v>
      </c>
      <c r="E41" s="3">
        <f>+'American Community'!E41+'American Network'!E41+'Monarch Life'!E41+'Pen  Treaty'!E41</f>
        <v>0</v>
      </c>
      <c r="F41" s="3">
        <f t="shared" si="1"/>
        <v>23735054.240258783</v>
      </c>
    </row>
    <row r="42" spans="1:6">
      <c r="A42" t="s">
        <v>36</v>
      </c>
      <c r="B42" s="3">
        <f>+'American Community'!B42+'American Network'!B42+'Monarch Life'!B42+'Pen  Treaty'!B42</f>
        <v>1216.4397757419777</v>
      </c>
      <c r="C42" s="3">
        <f>+'American Community'!C42+'American Network'!C42+'Monarch Life'!C42+'Pen  Treaty'!C42</f>
        <v>749.07326586443287</v>
      </c>
      <c r="D42" s="3">
        <f>+'American Community'!D42+'American Network'!D42+'Monarch Life'!D42+'Pen  Treaty'!D42</f>
        <v>10960500.26429154</v>
      </c>
      <c r="E42" s="3">
        <f>+'American Community'!E42+'American Network'!E42+'Monarch Life'!E42+'Pen  Treaty'!E42</f>
        <v>0</v>
      </c>
      <c r="F42" s="3">
        <f t="shared" si="1"/>
        <v>10962465.777333146</v>
      </c>
    </row>
    <row r="43" spans="1:6">
      <c r="A43" t="s">
        <v>37</v>
      </c>
      <c r="B43" s="3">
        <f>+'American Community'!B43+'American Network'!B43+'Monarch Life'!B43+'Pen  Treaty'!B43</f>
        <v>2161.9863362783681</v>
      </c>
      <c r="C43" s="3">
        <f>+'American Community'!C43+'American Network'!C43+'Monarch Life'!C43+'Pen  Treaty'!C43</f>
        <v>862.8082855096103</v>
      </c>
      <c r="D43" s="3">
        <f>+'American Community'!D43+'American Network'!D43+'Monarch Life'!D43+'Pen  Treaty'!D43</f>
        <v>6040513.3447272032</v>
      </c>
      <c r="E43" s="3">
        <f>+'American Community'!E43+'American Network'!E43+'Monarch Life'!E43+'Pen  Treaty'!E43</f>
        <v>0</v>
      </c>
      <c r="F43" s="3">
        <f t="shared" si="1"/>
        <v>6043538.1393489912</v>
      </c>
    </row>
    <row r="44" spans="1:6">
      <c r="A44" t="s">
        <v>38</v>
      </c>
      <c r="B44" s="3">
        <f>+'American Community'!B44+'American Network'!B44+'Monarch Life'!B44+'Pen  Treaty'!B44</f>
        <v>12363.057635700819</v>
      </c>
      <c r="C44" s="3">
        <f>+'American Community'!C44+'American Network'!C44+'Monarch Life'!C44+'Pen  Treaty'!C44</f>
        <v>3157.7212687764659</v>
      </c>
      <c r="D44" s="3">
        <f>+'American Community'!D44+'American Network'!D44+'Monarch Life'!D44+'Pen  Treaty'!D44</f>
        <v>256739798.94413796</v>
      </c>
      <c r="E44" s="3">
        <f>+'American Community'!E44+'American Network'!E44+'Monarch Life'!E44+'Pen  Treaty'!E44</f>
        <v>0</v>
      </c>
      <c r="F44" s="3">
        <f t="shared" si="1"/>
        <v>256755319.72304243</v>
      </c>
    </row>
    <row r="45" spans="1:6">
      <c r="A45" t="s">
        <v>39</v>
      </c>
      <c r="B45" s="3">
        <f>+'American Community'!B45+'American Network'!B45+'Monarch Life'!B45+'Pen  Treaty'!B45</f>
        <v>463.03867540982276</v>
      </c>
      <c r="C45" s="3">
        <f>+'American Community'!C45+'American Network'!C45+'Monarch Life'!C45+'Pen  Treaty'!C45</f>
        <v>14.377584597683597</v>
      </c>
      <c r="D45" s="3">
        <f>+'American Community'!D45+'American Network'!D45+'Monarch Life'!D45+'Pen  Treaty'!D45</f>
        <v>14.14874805871897</v>
      </c>
      <c r="E45" s="3">
        <f>+'American Community'!E45+'American Network'!E45+'Monarch Life'!E45+'Pen  Treaty'!E45</f>
        <v>0</v>
      </c>
      <c r="F45" s="3">
        <f t="shared" si="1"/>
        <v>491.56500806622535</v>
      </c>
    </row>
    <row r="46" spans="1:6">
      <c r="A46" t="s">
        <v>40</v>
      </c>
      <c r="B46" s="3">
        <f>+'American Community'!B46+'American Network'!B46+'Monarch Life'!B46+'Pen  Treaty'!B46</f>
        <v>747.73871203178169</v>
      </c>
      <c r="C46" s="3">
        <f>+'American Community'!C46+'American Network'!C46+'Monarch Life'!C46+'Pen  Treaty'!C46</f>
        <v>473.26590842047267</v>
      </c>
      <c r="D46" s="3">
        <f>+'American Community'!D46+'American Network'!D46+'Monarch Life'!D46+'Pen  Treaty'!D46</f>
        <v>1706811.0204892098</v>
      </c>
      <c r="E46" s="3">
        <f>+'American Community'!E46+'American Network'!E46+'Monarch Life'!E46+'Pen  Treaty'!E46</f>
        <v>0</v>
      </c>
      <c r="F46" s="3">
        <f t="shared" si="1"/>
        <v>1708032.025109662</v>
      </c>
    </row>
    <row r="47" spans="1:6">
      <c r="A47" t="s">
        <v>41</v>
      </c>
      <c r="B47" s="3">
        <f>+'American Community'!B47+'American Network'!B47+'Monarch Life'!B47+'Pen  Treaty'!B47</f>
        <v>1333.9193007725682</v>
      </c>
      <c r="C47" s="3">
        <f>+'American Community'!C47+'American Network'!C47+'Monarch Life'!C47+'Pen  Treaty'!C47</f>
        <v>954.29791613481029</v>
      </c>
      <c r="D47" s="3">
        <f>+'American Community'!D47+'American Network'!D47+'Monarch Life'!D47+'Pen  Treaty'!D47</f>
        <v>13811765.736509832</v>
      </c>
      <c r="E47" s="3">
        <f>+'American Community'!E47+'American Network'!E47+'Monarch Life'!E47+'Pen  Treaty'!E47</f>
        <v>0</v>
      </c>
      <c r="F47" s="3">
        <f t="shared" si="1"/>
        <v>13814053.953726739</v>
      </c>
    </row>
    <row r="48" spans="1:6">
      <c r="A48" t="s">
        <v>42</v>
      </c>
      <c r="B48" s="3">
        <f>+'American Community'!B48+'American Network'!B48+'Monarch Life'!B48+'Pen  Treaty'!B48</f>
        <v>850.48631802689965</v>
      </c>
      <c r="C48" s="3">
        <f>+'American Community'!C48+'American Network'!C48+'Monarch Life'!C48+'Pen  Treaty'!C48</f>
        <v>362.31213286424992</v>
      </c>
      <c r="D48" s="3">
        <f>+'American Community'!D48+'American Network'!D48+'Monarch Life'!D48+'Pen  Treaty'!D48</f>
        <v>33077377.576825295</v>
      </c>
      <c r="E48" s="3">
        <f>+'American Community'!E48+'American Network'!E48+'Monarch Life'!E48+'Pen  Treaty'!E48</f>
        <v>0</v>
      </c>
      <c r="F48" s="3">
        <f t="shared" si="1"/>
        <v>33078590.375276186</v>
      </c>
    </row>
    <row r="49" spans="1:6">
      <c r="A49" t="s">
        <v>43</v>
      </c>
      <c r="B49" s="3">
        <f>+'American Community'!B49+'American Network'!B49+'Monarch Life'!B49+'Pen  Treaty'!B49</f>
        <v>1247.2088760953413</v>
      </c>
      <c r="C49" s="3">
        <f>+'American Community'!C49+'American Network'!C49+'Monarch Life'!C49+'Pen  Treaty'!C49</f>
        <v>1076.0930672079644</v>
      </c>
      <c r="D49" s="3">
        <f>+'American Community'!D49+'American Network'!D49+'Monarch Life'!D49+'Pen  Treaty'!D49</f>
        <v>38652673.907241315</v>
      </c>
      <c r="E49" s="3">
        <f>+'American Community'!E49+'American Network'!E49+'Monarch Life'!E49+'Pen  Treaty'!E49</f>
        <v>0</v>
      </c>
      <c r="F49" s="3">
        <f t="shared" si="1"/>
        <v>38654997.209184617</v>
      </c>
    </row>
    <row r="50" spans="1:6">
      <c r="A50" t="s">
        <v>44</v>
      </c>
      <c r="B50" s="3">
        <f>+'American Community'!B50+'American Network'!B50+'Monarch Life'!B50+'Pen  Treaty'!B50</f>
        <v>11350.802111984154</v>
      </c>
      <c r="C50" s="3">
        <f>+'American Community'!C50+'American Network'!C50+'Monarch Life'!C50+'Pen  Treaty'!C50</f>
        <v>2385.770216619133</v>
      </c>
      <c r="D50" s="3">
        <f>+'American Community'!D50+'American Network'!D50+'Monarch Life'!D50+'Pen  Treaty'!D50</f>
        <v>109422513.3825445</v>
      </c>
      <c r="E50" s="3">
        <f>+'American Community'!E50+'American Network'!E50+'Monarch Life'!E50+'Pen  Treaty'!E50</f>
        <v>0</v>
      </c>
      <c r="F50" s="3">
        <f t="shared" si="1"/>
        <v>109436249.9548731</v>
      </c>
    </row>
    <row r="51" spans="1:6">
      <c r="A51" t="s">
        <v>45</v>
      </c>
      <c r="B51" s="3">
        <f>+'American Community'!B51+'American Network'!B51+'Monarch Life'!B51+'Pen  Treaty'!B51</f>
        <v>1446.2893033932949</v>
      </c>
      <c r="C51" s="3">
        <f>+'American Community'!C51+'American Network'!C51+'Monarch Life'!C51+'Pen  Treaty'!C51</f>
        <v>518.11787005753979</v>
      </c>
      <c r="D51" s="3">
        <f>+'American Community'!D51+'American Network'!D51+'Monarch Life'!D51+'Pen  Treaty'!D51</f>
        <v>11240429.275260791</v>
      </c>
      <c r="E51" s="3">
        <f>+'American Community'!E51+'American Network'!E51+'Monarch Life'!E51+'Pen  Treaty'!E51</f>
        <v>0</v>
      </c>
      <c r="F51" s="3">
        <f t="shared" si="1"/>
        <v>11242393.682434242</v>
      </c>
    </row>
    <row r="52" spans="1:6">
      <c r="A52" t="s">
        <v>46</v>
      </c>
      <c r="B52" s="3">
        <f>+'American Community'!B52+'American Network'!B52+'Monarch Life'!B52+'Pen  Treaty'!B52</f>
        <v>568.3334733073192</v>
      </c>
      <c r="C52" s="3">
        <f>+'American Community'!C52+'American Network'!C52+'Monarch Life'!C52+'Pen  Treaty'!C52</f>
        <v>108.28923158258051</v>
      </c>
      <c r="D52" s="3">
        <f>+'American Community'!D52+'American Network'!D52+'Monarch Life'!D52+'Pen  Treaty'!D52</f>
        <v>8696912.7795634456</v>
      </c>
      <c r="E52" s="3">
        <f>+'American Community'!E52+'American Network'!E52+'Monarch Life'!E52+'Pen  Treaty'!E52</f>
        <v>0</v>
      </c>
      <c r="F52" s="3">
        <f t="shared" si="1"/>
        <v>8697589.4022683352</v>
      </c>
    </row>
    <row r="53" spans="1:6">
      <c r="A53" t="s">
        <v>47</v>
      </c>
      <c r="B53" s="3">
        <f>+'American Community'!B53+'American Network'!B53+'Monarch Life'!B53+'Pen  Treaty'!B53</f>
        <v>2565.5052055410365</v>
      </c>
      <c r="C53" s="3">
        <f>+'American Community'!C53+'American Network'!C53+'Monarch Life'!C53+'Pen  Treaty'!C53</f>
        <v>1199.2605855589543</v>
      </c>
      <c r="D53" s="3">
        <f>+'American Community'!D53+'American Network'!D53+'Monarch Life'!D53+'Pen  Treaty'!D53</f>
        <v>166824209.11610544</v>
      </c>
      <c r="E53" s="3">
        <f>+'American Community'!E53+'American Network'!E53+'Monarch Life'!E53+'Pen  Treaty'!E53</f>
        <v>0</v>
      </c>
      <c r="F53" s="3">
        <f t="shared" si="1"/>
        <v>166827973.88189653</v>
      </c>
    </row>
    <row r="54" spans="1:6">
      <c r="A54" t="s">
        <v>48</v>
      </c>
      <c r="B54" s="3">
        <f>+'American Community'!B54+'American Network'!B54+'Monarch Life'!B54+'Pen  Treaty'!B54</f>
        <v>7392.7829614889097</v>
      </c>
      <c r="C54" s="3">
        <f>+'American Community'!C54+'American Network'!C54+'Monarch Life'!C54+'Pen  Treaty'!C54</f>
        <v>1668.4133038816269</v>
      </c>
      <c r="D54" s="3">
        <f>+'American Community'!D54+'American Network'!D54+'Monarch Life'!D54+'Pen  Treaty'!D54</f>
        <v>98375547.776386127</v>
      </c>
      <c r="E54" s="3">
        <f>+'American Community'!E54+'American Network'!E54+'Monarch Life'!E54+'Pen  Treaty'!E54</f>
        <v>0</v>
      </c>
      <c r="F54" s="3">
        <f t="shared" si="1"/>
        <v>98384608.972651497</v>
      </c>
    </row>
    <row r="55" spans="1:6">
      <c r="A55" t="s">
        <v>49</v>
      </c>
      <c r="B55" s="3">
        <f>+'American Community'!B55+'American Network'!B55+'Monarch Life'!B55+'Pen  Treaty'!B55</f>
        <v>604.42705869238955</v>
      </c>
      <c r="C55" s="3">
        <f>+'American Community'!C55+'American Network'!C55+'Monarch Life'!C55+'Pen  Treaty'!C55</f>
        <v>327.36924973351722</v>
      </c>
      <c r="D55" s="3">
        <f>+'American Community'!D55+'American Network'!D55+'Monarch Life'!D55+'Pen  Treaty'!D55</f>
        <v>3700746.1641479484</v>
      </c>
      <c r="E55" s="3">
        <f>+'American Community'!E55+'American Network'!E55+'Monarch Life'!E55+'Pen  Treaty'!E55</f>
        <v>0</v>
      </c>
      <c r="F55" s="3">
        <f t="shared" si="1"/>
        <v>3701677.9604563741</v>
      </c>
    </row>
    <row r="56" spans="1:6">
      <c r="A56" t="s">
        <v>50</v>
      </c>
      <c r="B56" s="3">
        <f>+'American Community'!B56+'American Network'!B56+'Monarch Life'!B56+'Pen  Treaty'!B56</f>
        <v>5464.2153698512393</v>
      </c>
      <c r="C56" s="3">
        <f>+'American Community'!C56+'American Network'!C56+'Monarch Life'!C56+'Pen  Treaty'!C56</f>
        <v>3038.9094681372212</v>
      </c>
      <c r="D56" s="3">
        <f>+'American Community'!D56+'American Network'!D56+'Monarch Life'!D56+'Pen  Treaty'!D56</f>
        <v>13118016.48137594</v>
      </c>
      <c r="E56" s="3">
        <f>+'American Community'!E56+'American Network'!E56+'Monarch Life'!E56+'Pen  Treaty'!E56</f>
        <v>0</v>
      </c>
      <c r="F56" s="3">
        <f t="shared" si="1"/>
        <v>13126519.606213929</v>
      </c>
    </row>
    <row r="57" spans="1:6">
      <c r="A57" t="s">
        <v>51</v>
      </c>
      <c r="B57" s="3">
        <f>+'American Community'!B57+'American Network'!B57+'Monarch Life'!B57+'Pen  Treaty'!B57</f>
        <v>250.82712991455529</v>
      </c>
      <c r="C57" s="3">
        <f>+'American Community'!C57+'American Network'!C57+'Monarch Life'!C57+'Pen  Treaty'!C57</f>
        <v>91.781706891456906</v>
      </c>
      <c r="D57" s="3">
        <f>+'American Community'!D57+'American Network'!D57+'Monarch Life'!D57+'Pen  Treaty'!D57</f>
        <v>2744375.0074765133</v>
      </c>
      <c r="E57" s="3">
        <f>+'American Community'!E57+'American Network'!E57+'Monarch Life'!E57+'Pen  Treaty'!E57</f>
        <v>0</v>
      </c>
      <c r="F57" s="3">
        <f t="shared" si="1"/>
        <v>2744717.6163133192</v>
      </c>
    </row>
    <row r="58" spans="1:6">
      <c r="A58" t="s">
        <v>52</v>
      </c>
      <c r="B58" s="3">
        <f>+'American Community'!B58+'American Network'!B58+'Monarch Life'!B58+'Pen  Treaty'!B58</f>
        <v>0</v>
      </c>
      <c r="C58" s="3">
        <f>+'American Community'!C58+'American Network'!C58+'Monarch Life'!C58+'Pen  Treaty'!C58</f>
        <v>0</v>
      </c>
      <c r="D58" s="3">
        <f>+'American Community'!D58+'American Network'!D58+'Monarch Life'!D58+'Pen  Treaty'!D58</f>
        <v>0</v>
      </c>
      <c r="E58" s="3">
        <f>+'American Community'!E58+'American Network'!E58+'Monarch Life'!E58+'Pen  Treaty'!E58</f>
        <v>0</v>
      </c>
      <c r="F58" s="3">
        <f t="shared" si="1"/>
        <v>0</v>
      </c>
    </row>
    <row r="59" spans="1:6">
      <c r="B59" s="3"/>
      <c r="C59" s="3"/>
      <c r="D59" s="3"/>
      <c r="E59" s="3"/>
      <c r="F59" s="3"/>
    </row>
    <row r="60" spans="1:6">
      <c r="A60" t="s">
        <v>59</v>
      </c>
      <c r="B60" s="3">
        <f t="shared" ref="B60:F60" si="2">SUM(B6:B58)</f>
        <v>215863.61986924539</v>
      </c>
      <c r="C60" s="3">
        <f t="shared" si="2"/>
        <v>93933.541621614961</v>
      </c>
      <c r="D60" s="3">
        <f t="shared" si="2"/>
        <v>2324935726.9886613</v>
      </c>
      <c r="E60" s="3">
        <f t="shared" si="2"/>
        <v>0</v>
      </c>
      <c r="F60" s="3">
        <f t="shared" si="2"/>
        <v>2325245524.1501513</v>
      </c>
    </row>
    <row r="62" spans="1:6">
      <c r="A62" s="139" t="s">
        <v>167</v>
      </c>
      <c r="B62" s="139"/>
      <c r="C62" s="139"/>
      <c r="D62" s="139"/>
      <c r="E62" s="139"/>
      <c r="F62" s="139"/>
    </row>
    <row r="63" spans="1:6">
      <c r="A63" t="s">
        <v>180</v>
      </c>
    </row>
    <row r="65" spans="1:6">
      <c r="A65" t="s">
        <v>59</v>
      </c>
      <c r="B65" s="3">
        <f>SUM(B60:B64)</f>
        <v>215863.61986924539</v>
      </c>
      <c r="C65" s="3">
        <f>SUM(C60:C64)</f>
        <v>93933.541621614961</v>
      </c>
      <c r="D65" s="3">
        <f>SUM(D60:D64)</f>
        <v>2324935726.9886613</v>
      </c>
      <c r="E65" s="3">
        <f>SUM(E60:E64)</f>
        <v>0</v>
      </c>
      <c r="F65" s="3">
        <f>SUM(F60:F64)</f>
        <v>2325245524.1501513</v>
      </c>
    </row>
    <row r="69" spans="1:6">
      <c r="A69" t="s">
        <v>181</v>
      </c>
      <c r="B69" s="3">
        <f>+Summary!H12</f>
        <v>215863.61986924548</v>
      </c>
      <c r="C69" s="3">
        <f>+Summary!I12</f>
        <v>93933.541621614961</v>
      </c>
      <c r="D69" s="3">
        <f>+Summary!J12</f>
        <v>2324935726.9886608</v>
      </c>
      <c r="E69" s="3">
        <f>+Summary!K12</f>
        <v>0</v>
      </c>
      <c r="F69" s="3">
        <f>+Summary!L12</f>
        <v>2325245524.1501513</v>
      </c>
    </row>
    <row r="70" spans="1:6">
      <c r="B70" s="3">
        <f>+B65-B69</f>
        <v>0</v>
      </c>
      <c r="C70" s="3">
        <f>+C65-C69</f>
        <v>0</v>
      </c>
      <c r="D70" s="3">
        <f>+D65-D69</f>
        <v>0</v>
      </c>
      <c r="E70" s="3">
        <f>+E65-E69</f>
        <v>0</v>
      </c>
      <c r="F70" s="3">
        <f>+F65-F69</f>
        <v>0</v>
      </c>
    </row>
  </sheetData>
  <mergeCells count="2">
    <mergeCell ref="A62:F62"/>
    <mergeCell ref="A1:F1"/>
  </mergeCells>
  <printOptions horizontalCentered="1" verticalCentered="1"/>
  <pageMargins left="0.25" right="0.25" top="0.75" bottom="0.75" header="0.4" footer="0.4"/>
  <pageSetup scale="51" orientation="landscape" r:id="rId1"/>
  <headerFooter>
    <oddHeader>&amp;L&amp;"Geneva,Bold"&amp;D 
&amp;F &amp;C&amp;"Geneva,Bold Italic"Pre-Liquidation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75" zoomScaleNormal="75" workbookViewId="0">
      <selection activeCell="C43" sqref="C43"/>
    </sheetView>
  </sheetViews>
  <sheetFormatPr defaultRowHeight="15"/>
  <cols>
    <col min="1" max="1" width="17.7109375" bestFit="1" customWidth="1"/>
    <col min="2" max="3" width="15.140625" bestFit="1" customWidth="1"/>
    <col min="4" max="4" width="13.28515625" bestFit="1" customWidth="1"/>
    <col min="5" max="5" width="12.140625" bestFit="1" customWidth="1"/>
    <col min="6" max="6" width="15.140625" bestFit="1" customWidth="1"/>
    <col min="7" max="7" width="2.7109375" customWidth="1"/>
    <col min="8" max="8" width="32" bestFit="1" customWidth="1"/>
    <col min="9" max="9" width="15.140625" bestFit="1" customWidth="1"/>
  </cols>
  <sheetData>
    <row r="1" spans="1:9">
      <c r="A1" s="156" t="s">
        <v>220</v>
      </c>
      <c r="B1" s="157"/>
      <c r="C1" s="157"/>
      <c r="D1" s="157"/>
      <c r="E1" s="157"/>
      <c r="F1" s="157"/>
    </row>
    <row r="3" spans="1:9">
      <c r="B3" s="51"/>
      <c r="C3" s="51" t="s">
        <v>184</v>
      </c>
      <c r="D3" s="51"/>
      <c r="E3" s="51" t="s">
        <v>185</v>
      </c>
      <c r="F3" s="51"/>
    </row>
    <row r="4" spans="1:9">
      <c r="B4" s="51" t="s">
        <v>55</v>
      </c>
      <c r="C4" s="51" t="s">
        <v>186</v>
      </c>
      <c r="D4" s="51" t="s">
        <v>57</v>
      </c>
      <c r="E4" s="51" t="s">
        <v>186</v>
      </c>
      <c r="F4" s="51" t="s">
        <v>59</v>
      </c>
    </row>
    <row r="6" spans="1:9">
      <c r="A6" t="s">
        <v>0</v>
      </c>
      <c r="B6" s="3">
        <f>+'Booker T Washington'!B6+'Executive Life'!B6+ELNY!B6+Imerica!B6+'Life Health America'!B6+'Lincoln Memorial'!B6+'Medical Savings'!B6+'Memorial Service'!B6+'National States'!B6+'Universal Health Care'!B6+'Universal Life'!B6</f>
        <v>42849404.714117825</v>
      </c>
      <c r="C6" s="3">
        <f>+'Booker T Washington'!C6+'Executive Life'!C6+ELNY!C6+Imerica!C6+'Life Health America'!C6+'Lincoln Memorial'!C6+'Medical Savings'!C6+'Memorial Service'!C6+'National States'!C6+'Universal Health Care'!C6+'Universal Life'!C6</f>
        <v>21925207.837849461</v>
      </c>
      <c r="D6" s="3">
        <f>+'Booker T Washington'!D6+'Executive Life'!D6+ELNY!D6+Imerica!D6+'Life Health America'!D6+'Lincoln Memorial'!D6+'Medical Savings'!D6+'Memorial Service'!D6+'National States'!D6+'Universal Health Care'!D6+'Universal Life'!D6</f>
        <v>345855.55506212107</v>
      </c>
      <c r="E6" s="3">
        <f>+'Booker T Washington'!E6+'Executive Life'!E6+ELNY!E6+Imerica!E6+'Life Health America'!E6+'Lincoln Memorial'!E6+'Medical Savings'!E6+'Memorial Service'!E6+'National States'!E6+'Universal Health Care'!E6+'Universal Life'!E6</f>
        <v>0</v>
      </c>
      <c r="F6" s="3">
        <f t="shared" ref="F6:F37" si="0">SUM(B6:E6)</f>
        <v>65120468.107029408</v>
      </c>
      <c r="H6" t="s">
        <v>188</v>
      </c>
      <c r="I6" s="3">
        <f>+Summary!L16</f>
        <v>24385347.199999999</v>
      </c>
    </row>
    <row r="7" spans="1:9">
      <c r="A7" t="s">
        <v>1</v>
      </c>
      <c r="B7" s="3">
        <f>+'Booker T Washington'!B7+'Executive Life'!B7+ELNY!B7+Imerica!B7+'Life Health America'!B7+'Lincoln Memorial'!B7+'Medical Savings'!B7+'Memorial Service'!B7+'National States'!B7+'Universal Health Care'!B7+'Universal Life'!B7</f>
        <v>556411.85623742733</v>
      </c>
      <c r="C7" s="3">
        <f>+'Booker T Washington'!C7+'Executive Life'!C7+ELNY!C7+Imerica!C7+'Life Health America'!C7+'Lincoln Memorial'!C7+'Medical Savings'!C7+'Memorial Service'!C7+'National States'!C7+'Universal Health Care'!C7+'Universal Life'!C7</f>
        <v>5805466.2314128634</v>
      </c>
      <c r="D7" s="3">
        <f>+'Booker T Washington'!D7+'Executive Life'!D7+ELNY!D7+Imerica!D7+'Life Health America'!D7+'Lincoln Memorial'!D7+'Medical Savings'!D7+'Memorial Service'!D7+'National States'!D7+'Universal Health Care'!D7+'Universal Life'!D7</f>
        <v>2853</v>
      </c>
      <c r="E7" s="3">
        <f>+'Booker T Washington'!E7+'Executive Life'!E7+ELNY!E7+Imerica!E7+'Life Health America'!E7+'Lincoln Memorial'!E7+'Medical Savings'!E7+'Memorial Service'!E7+'National States'!E7+'Universal Health Care'!E7+'Universal Life'!E7</f>
        <v>0</v>
      </c>
      <c r="F7" s="3">
        <f t="shared" si="0"/>
        <v>6364731.0876502907</v>
      </c>
      <c r="H7" t="s">
        <v>191</v>
      </c>
      <c r="I7" s="3">
        <f>+Summary!L17</f>
        <v>2946902070.6137338</v>
      </c>
    </row>
    <row r="8" spans="1:9">
      <c r="A8" t="s">
        <v>2</v>
      </c>
      <c r="B8" s="3">
        <f>+'Booker T Washington'!B8+'Executive Life'!B8+ELNY!B8+Imerica!B8+'Life Health America'!B8+'Lincoln Memorial'!B8+'Medical Savings'!B8+'Memorial Service'!B8+'National States'!B8+'Universal Health Care'!B8+'Universal Life'!B8</f>
        <v>21400514.775222477</v>
      </c>
      <c r="C8" s="3">
        <f>+'Booker T Washington'!C8+'Executive Life'!C8+ELNY!C8+Imerica!C8+'Life Health America'!C8+'Lincoln Memorial'!C8+'Medical Savings'!C8+'Memorial Service'!C8+'National States'!C8+'Universal Health Care'!C8+'Universal Life'!C8</f>
        <v>25578534.157572638</v>
      </c>
      <c r="D8" s="3">
        <f>+'Booker T Washington'!D8+'Executive Life'!D8+ELNY!D8+Imerica!D8+'Life Health America'!D8+'Lincoln Memorial'!D8+'Medical Savings'!D8+'Memorial Service'!D8+'National States'!D8+'Universal Health Care'!D8+'Universal Life'!D8</f>
        <v>2562480.3072275789</v>
      </c>
      <c r="E8" s="3">
        <f>+'Booker T Washington'!E8+'Executive Life'!E8+ELNY!E8+Imerica!E8+'Life Health America'!E8+'Lincoln Memorial'!E8+'Medical Savings'!E8+'Memorial Service'!E8+'National States'!E8+'Universal Health Care'!E8+'Universal Life'!E8</f>
        <v>0</v>
      </c>
      <c r="F8" s="3">
        <f t="shared" si="0"/>
        <v>49541529.240022697</v>
      </c>
      <c r="H8" t="s">
        <v>194</v>
      </c>
      <c r="I8" s="3">
        <f>+Summary!L18</f>
        <v>764488820.75966001</v>
      </c>
    </row>
    <row r="9" spans="1:9">
      <c r="A9" t="s">
        <v>3</v>
      </c>
      <c r="B9" s="3">
        <f>+'Booker T Washington'!B9+'Executive Life'!B9+ELNY!B9+Imerica!B9+'Life Health America'!B9+'Lincoln Memorial'!B9+'Medical Savings'!B9+'Memorial Service'!B9+'National States'!B9+'Universal Health Care'!B9+'Universal Life'!B9</f>
        <v>14322758.588959048</v>
      </c>
      <c r="C9" s="3">
        <f>+'Booker T Washington'!C9+'Executive Life'!C9+ELNY!C9+Imerica!C9+'Life Health America'!C9+'Lincoln Memorial'!C9+'Medical Savings'!C9+'Memorial Service'!C9+'National States'!C9+'Universal Health Care'!C9+'Universal Life'!C9</f>
        <v>9407537.4543482326</v>
      </c>
      <c r="D9" s="3">
        <f>+'Booker T Washington'!D9+'Executive Life'!D9+ELNY!D9+Imerica!D9+'Life Health America'!D9+'Lincoln Memorial'!D9+'Medical Savings'!D9+'Memorial Service'!D9+'National States'!D9+'Universal Health Care'!D9+'Universal Life'!D9</f>
        <v>148270.18811992492</v>
      </c>
      <c r="E9" s="3">
        <f>+'Booker T Washington'!E9+'Executive Life'!E9+ELNY!E9+Imerica!E9+'Life Health America'!E9+'Lincoln Memorial'!E9+'Medical Savings'!E9+'Memorial Service'!E9+'National States'!E9+'Universal Health Care'!E9+'Universal Life'!E9</f>
        <v>52257.422253033496</v>
      </c>
      <c r="F9" s="3">
        <f t="shared" si="0"/>
        <v>23930823.653680243</v>
      </c>
      <c r="H9" t="s">
        <v>197</v>
      </c>
      <c r="I9" s="3">
        <f>+Summary!L19</f>
        <v>13553542.659999998</v>
      </c>
    </row>
    <row r="10" spans="1:9">
      <c r="A10" t="s">
        <v>4</v>
      </c>
      <c r="B10" s="3">
        <f>+'Booker T Washington'!B10+'Executive Life'!B10+ELNY!B10+Imerica!B10+'Life Health America'!B10+'Lincoln Memorial'!B10+'Medical Savings'!B10+'Memorial Service'!B10+'National States'!B10+'Universal Health Care'!B10+'Universal Life'!B10</f>
        <v>283427855.30102569</v>
      </c>
      <c r="C10" s="3">
        <f>+'Booker T Washington'!C10+'Executive Life'!C10+ELNY!C10+Imerica!C10+'Life Health America'!C10+'Lincoln Memorial'!C10+'Medical Savings'!C10+'Memorial Service'!C10+'National States'!C10+'Universal Health Care'!C10+'Universal Life'!C10</f>
        <v>473907546.66165859</v>
      </c>
      <c r="D10" s="3">
        <f>+'Booker T Washington'!D10+'Executive Life'!D10+ELNY!D10+Imerica!D10+'Life Health America'!D10+'Lincoln Memorial'!D10+'Medical Savings'!D10+'Memorial Service'!D10+'National States'!D10+'Universal Health Care'!D10+'Universal Life'!D10</f>
        <v>2888057.3881756761</v>
      </c>
      <c r="E10" s="3">
        <f>+'Booker T Washington'!E10+'Executive Life'!E10+ELNY!E10+Imerica!E10+'Life Health America'!E10+'Lincoln Memorial'!E10+'Medical Savings'!E10+'Memorial Service'!E10+'National States'!E10+'Universal Health Care'!E10+'Universal Life'!E10</f>
        <v>0</v>
      </c>
      <c r="F10" s="3">
        <f t="shared" si="0"/>
        <v>760223459.35086</v>
      </c>
      <c r="H10" t="s">
        <v>200</v>
      </c>
      <c r="I10" s="3">
        <f>+Summary!L20</f>
        <v>36085388.343709722</v>
      </c>
    </row>
    <row r="11" spans="1:9">
      <c r="A11" t="s">
        <v>5</v>
      </c>
      <c r="B11" s="3">
        <f>+'Booker T Washington'!B11+'Executive Life'!B11+ELNY!B11+Imerica!B11+'Life Health America'!B11+'Lincoln Memorial'!B11+'Medical Savings'!B11+'Memorial Service'!B11+'National States'!B11+'Universal Health Care'!B11+'Universal Life'!B11</f>
        <v>455375.13257229514</v>
      </c>
      <c r="C11" s="3">
        <f>+'Booker T Washington'!C11+'Executive Life'!C11+ELNY!C11+Imerica!C11+'Life Health America'!C11+'Lincoln Memorial'!C11+'Medical Savings'!C11+'Memorial Service'!C11+'National States'!C11+'Universal Health Care'!C11+'Universal Life'!C11</f>
        <v>2015915.5611829911</v>
      </c>
      <c r="D11" s="3">
        <f>+'Booker T Washington'!D11+'Executive Life'!D11+ELNY!D11+Imerica!D11+'Life Health America'!D11+'Lincoln Memorial'!D11+'Medical Savings'!D11+'Memorial Service'!D11+'National States'!D11+'Universal Health Care'!D11+'Universal Life'!D11</f>
        <v>5591896.2930002622</v>
      </c>
      <c r="E11" s="3">
        <f>+'Booker T Washington'!E11+'Executive Life'!E11+ELNY!E11+Imerica!E11+'Life Health America'!E11+'Lincoln Memorial'!E11+'Medical Savings'!E11+'Memorial Service'!E11+'National States'!E11+'Universal Health Care'!E11+'Universal Life'!E11</f>
        <v>0</v>
      </c>
      <c r="F11" s="3">
        <f t="shared" si="0"/>
        <v>8063186.986755548</v>
      </c>
      <c r="H11" t="s">
        <v>202</v>
      </c>
      <c r="I11" s="3">
        <f>+Summary!L21</f>
        <v>292222042.14971882</v>
      </c>
    </row>
    <row r="12" spans="1:9">
      <c r="A12" t="s">
        <v>6</v>
      </c>
      <c r="B12" s="3">
        <f>+'Booker T Washington'!B12+'Executive Life'!B12+ELNY!B12+Imerica!B12+'Life Health America'!B12+'Lincoln Memorial'!B12+'Medical Savings'!B12+'Memorial Service'!B12+'National States'!B12+'Universal Health Care'!B12+'Universal Life'!B12</f>
        <v>54489.984350899962</v>
      </c>
      <c r="C12" s="3">
        <f>+'Booker T Washington'!C12+'Executive Life'!C12+ELNY!C12+Imerica!C12+'Life Health America'!C12+'Lincoln Memorial'!C12+'Medical Savings'!C12+'Memorial Service'!C12+'National States'!C12+'Universal Health Care'!C12+'Universal Life'!C12</f>
        <v>25146532.909418602</v>
      </c>
      <c r="D12" s="3">
        <f>+'Booker T Washington'!D12+'Executive Life'!D12+ELNY!D12+Imerica!D12+'Life Health America'!D12+'Lincoln Memorial'!D12+'Medical Savings'!D12+'Memorial Service'!D12+'National States'!D12+'Universal Health Care'!D12+'Universal Life'!D12</f>
        <v>0</v>
      </c>
      <c r="E12" s="3">
        <f>+'Booker T Washington'!E12+'Executive Life'!E12+ELNY!E12+Imerica!E12+'Life Health America'!E12+'Lincoln Memorial'!E12+'Medical Savings'!E12+'Memorial Service'!E12+'National States'!E12+'Universal Health Care'!E12+'Universal Life'!E12</f>
        <v>0</v>
      </c>
      <c r="F12" s="3">
        <f t="shared" si="0"/>
        <v>25201022.893769503</v>
      </c>
      <c r="H12" t="s">
        <v>205</v>
      </c>
      <c r="I12" s="3">
        <f>+Summary!L22</f>
        <v>25236408.27</v>
      </c>
    </row>
    <row r="13" spans="1:9">
      <c r="A13" t="s">
        <v>7</v>
      </c>
      <c r="B13" s="3">
        <f>+'Booker T Washington'!B13+'Executive Life'!B13+ELNY!B13+Imerica!B13+'Life Health America'!B13+'Lincoln Memorial'!B13+'Medical Savings'!B13+'Memorial Service'!B13+'National States'!B13+'Universal Health Care'!B13+'Universal Life'!B13</f>
        <v>4056785.8063695687</v>
      </c>
      <c r="C13" s="3">
        <f>+'Booker T Washington'!C13+'Executive Life'!C13+ELNY!C13+Imerica!C13+'Life Health America'!C13+'Lincoln Memorial'!C13+'Medical Savings'!C13+'Memorial Service'!C13+'National States'!C13+'Universal Health Care'!C13+'Universal Life'!C13</f>
        <v>7046455.8444374781</v>
      </c>
      <c r="D13" s="3">
        <f>+'Booker T Washington'!D13+'Executive Life'!D13+ELNY!D13+Imerica!D13+'Life Health America'!D13+'Lincoln Memorial'!D13+'Medical Savings'!D13+'Memorial Service'!D13+'National States'!D13+'Universal Health Care'!D13+'Universal Life'!D13</f>
        <v>9111.4135376049562</v>
      </c>
      <c r="E13" s="3">
        <f>+'Booker T Washington'!E13+'Executive Life'!E13+ELNY!E13+Imerica!E13+'Life Health America'!E13+'Lincoln Memorial'!E13+'Medical Savings'!E13+'Memorial Service'!E13+'National States'!E13+'Universal Health Care'!E13+'Universal Life'!E13</f>
        <v>101460.04097313641</v>
      </c>
      <c r="F13" s="3">
        <f t="shared" si="0"/>
        <v>11213813.105317788</v>
      </c>
      <c r="H13" t="s">
        <v>208</v>
      </c>
      <c r="I13" s="3">
        <f>+Summary!L23</f>
        <v>109045627.59916206</v>
      </c>
    </row>
    <row r="14" spans="1:9">
      <c r="A14" t="s">
        <v>8</v>
      </c>
      <c r="B14" s="3">
        <f>+'Booker T Washington'!B14+'Executive Life'!B14+ELNY!B14+Imerica!B14+'Life Health America'!B14+'Lincoln Memorial'!B14+'Medical Savings'!B14+'Memorial Service'!B14+'National States'!B14+'Universal Health Care'!B14+'Universal Life'!B14</f>
        <v>9981.5628941698706</v>
      </c>
      <c r="C14" s="3">
        <f>+'Booker T Washington'!C14+'Executive Life'!C14+ELNY!C14+Imerica!C14+'Life Health America'!C14+'Lincoln Memorial'!C14+'Medical Savings'!C14+'Memorial Service'!C14+'National States'!C14+'Universal Health Care'!C14+'Universal Life'!C14</f>
        <v>7019.3648981829047</v>
      </c>
      <c r="D14" s="3">
        <f>+'Booker T Washington'!D14+'Executive Life'!D14+ELNY!D14+Imerica!D14+'Life Health America'!D14+'Lincoln Memorial'!D14+'Medical Savings'!D14+'Memorial Service'!D14+'National States'!D14+'Universal Health Care'!D14+'Universal Life'!D14</f>
        <v>-1120</v>
      </c>
      <c r="E14" s="3">
        <f>+'Booker T Washington'!E14+'Executive Life'!E14+ELNY!E14+Imerica!E14+'Life Health America'!E14+'Lincoln Memorial'!E14+'Medical Savings'!E14+'Memorial Service'!E14+'National States'!E14+'Universal Health Care'!E14+'Universal Life'!E14</f>
        <v>0</v>
      </c>
      <c r="F14" s="3">
        <f t="shared" si="0"/>
        <v>15880.927792352777</v>
      </c>
      <c r="H14" t="s">
        <v>210</v>
      </c>
      <c r="I14" s="3">
        <f>+Summary!L24</f>
        <v>144726773.46502551</v>
      </c>
    </row>
    <row r="15" spans="1:9">
      <c r="A15" t="s">
        <v>9</v>
      </c>
      <c r="B15" s="3">
        <f>+'Booker T Washington'!B15+'Executive Life'!B15+ELNY!B15+Imerica!B15+'Life Health America'!B15+'Lincoln Memorial'!B15+'Medical Savings'!B15+'Memorial Service'!B15+'National States'!B15+'Universal Health Care'!B15+'Universal Life'!B15</f>
        <v>99407787.054627255</v>
      </c>
      <c r="C15" s="3">
        <f>+'Booker T Washington'!C15+'Executive Life'!C15+ELNY!C15+Imerica!C15+'Life Health America'!C15+'Lincoln Memorial'!C15+'Medical Savings'!C15+'Memorial Service'!C15+'National States'!C15+'Universal Health Care'!C15+'Universal Life'!C15</f>
        <v>106990020.82246147</v>
      </c>
      <c r="D15" s="3">
        <f>+'Booker T Washington'!D15+'Executive Life'!D15+ELNY!D15+Imerica!D15+'Life Health America'!D15+'Lincoln Memorial'!D15+'Medical Savings'!D15+'Memorial Service'!D15+'National States'!D15+'Universal Health Care'!D15+'Universal Life'!D15</f>
        <v>72681852.506315261</v>
      </c>
      <c r="E15" s="3">
        <f>+'Booker T Washington'!E15+'Executive Life'!E15+ELNY!E15+Imerica!E15+'Life Health America'!E15+'Lincoln Memorial'!E15+'Medical Savings'!E15+'Memorial Service'!E15+'National States'!E15+'Universal Health Care'!E15+'Universal Life'!E15</f>
        <v>0</v>
      </c>
      <c r="F15" s="3">
        <f t="shared" si="0"/>
        <v>279079660.38340402</v>
      </c>
      <c r="H15" t="s">
        <v>213</v>
      </c>
      <c r="I15" s="3">
        <f>+Summary!L25</f>
        <v>383406.32</v>
      </c>
    </row>
    <row r="16" spans="1:9">
      <c r="A16" t="s">
        <v>10</v>
      </c>
      <c r="B16" s="3">
        <f>+'Booker T Washington'!B16+'Executive Life'!B16+ELNY!B16+Imerica!B16+'Life Health America'!B16+'Lincoln Memorial'!B16+'Medical Savings'!B16+'Memorial Service'!B16+'National States'!B16+'Universal Health Care'!B16+'Universal Life'!B16</f>
        <v>28155918.202920131</v>
      </c>
      <c r="C16" s="3">
        <f>+'Booker T Washington'!C16+'Executive Life'!C16+ELNY!C16+Imerica!C16+'Life Health America'!C16+'Lincoln Memorial'!C16+'Medical Savings'!C16+'Memorial Service'!C16+'National States'!C16+'Universal Health Care'!C16+'Universal Life'!C16</f>
        <v>28907845.372517422</v>
      </c>
      <c r="D16" s="3">
        <f>+'Booker T Washington'!D16+'Executive Life'!D16+ELNY!D16+Imerica!D16+'Life Health America'!D16+'Lincoln Memorial'!D16+'Medical Savings'!D16+'Memorial Service'!D16+'National States'!D16+'Universal Health Care'!D16+'Universal Life'!D16</f>
        <v>22717133.748792548</v>
      </c>
      <c r="E16" s="3">
        <f>+'Booker T Washington'!E16+'Executive Life'!E16+ELNY!E16+Imerica!E16+'Life Health America'!E16+'Lincoln Memorial'!E16+'Medical Savings'!E16+'Memorial Service'!E16+'National States'!E16+'Universal Health Care'!E16+'Universal Life'!E16</f>
        <v>2276587.2941326033</v>
      </c>
      <c r="F16" s="3">
        <f t="shared" si="0"/>
        <v>82057484.61836271</v>
      </c>
      <c r="H16" t="s">
        <v>217</v>
      </c>
      <c r="I16" s="3">
        <f>+Summary!L26</f>
        <v>9907946.8039999995</v>
      </c>
    </row>
    <row r="17" spans="1:9">
      <c r="A17" t="s">
        <v>11</v>
      </c>
      <c r="B17" s="3">
        <f>+'Booker T Washington'!B17+'Executive Life'!B17+ELNY!B17+Imerica!B17+'Life Health America'!B17+'Lincoln Memorial'!B17+'Medical Savings'!B17+'Memorial Service'!B17+'National States'!B17+'Universal Health Care'!B17+'Universal Life'!B17</f>
        <v>26610761.46891078</v>
      </c>
      <c r="C17" s="3">
        <f>+'Booker T Washington'!C17+'Executive Life'!C17+ELNY!C17+Imerica!C17+'Life Health America'!C17+'Lincoln Memorial'!C17+'Medical Savings'!C17+'Memorial Service'!C17+'National States'!C17+'Universal Health Care'!C17+'Universal Life'!C17</f>
        <v>17648153.133720942</v>
      </c>
      <c r="D17" s="3">
        <f>+'Booker T Washington'!D17+'Executive Life'!D17+ELNY!D17+Imerica!D17+'Life Health America'!D17+'Lincoln Memorial'!D17+'Medical Savings'!D17+'Memorial Service'!D17+'National States'!D17+'Universal Health Care'!D17+'Universal Life'!D17</f>
        <v>44829.201782014759</v>
      </c>
      <c r="E17" s="3">
        <f>+'Booker T Washington'!E17+'Executive Life'!E17+ELNY!E17+Imerica!E17+'Life Health America'!E17+'Lincoln Memorial'!E17+'Medical Savings'!E17+'Memorial Service'!E17+'National States'!E17+'Universal Health Care'!E17+'Universal Life'!E17</f>
        <v>0</v>
      </c>
      <c r="F17" s="3">
        <f t="shared" si="0"/>
        <v>44303743.804413736</v>
      </c>
      <c r="I17" s="3"/>
    </row>
    <row r="18" spans="1:9">
      <c r="A18" t="s">
        <v>12</v>
      </c>
      <c r="B18" s="3">
        <f>+'Booker T Washington'!B18+'Executive Life'!B18+ELNY!B18+Imerica!B18+'Life Health America'!B18+'Lincoln Memorial'!B18+'Medical Savings'!B18+'Memorial Service'!B18+'National States'!B18+'Universal Health Care'!B18+'Universal Life'!B18</f>
        <v>7957818.9284532927</v>
      </c>
      <c r="C18" s="3">
        <f>+'Booker T Washington'!C18+'Executive Life'!C18+ELNY!C18+Imerica!C18+'Life Health America'!C18+'Lincoln Memorial'!C18+'Medical Savings'!C18+'Memorial Service'!C18+'National States'!C18+'Universal Health Care'!C18+'Universal Life'!C18</f>
        <v>8631044.8596795984</v>
      </c>
      <c r="D18" s="3">
        <f>+'Booker T Washington'!D18+'Executive Life'!D18+ELNY!D18+Imerica!D18+'Life Health America'!D18+'Lincoln Memorial'!D18+'Medical Savings'!D18+'Memorial Service'!D18+'National States'!D18+'Universal Health Care'!D18+'Universal Life'!D18</f>
        <v>-63871.088822689409</v>
      </c>
      <c r="E18" s="3">
        <f>+'Booker T Washington'!E18+'Executive Life'!E18+ELNY!E18+Imerica!E18+'Life Health America'!E18+'Lincoln Memorial'!E18+'Medical Savings'!E18+'Memorial Service'!E18+'National States'!E18+'Universal Health Care'!E18+'Universal Life'!E18</f>
        <v>0</v>
      </c>
      <c r="F18" s="3">
        <f t="shared" si="0"/>
        <v>16524992.699310202</v>
      </c>
      <c r="H18" t="s">
        <v>59</v>
      </c>
      <c r="I18" s="3">
        <f>SUM(I6:I17)</f>
        <v>4366937374.18501</v>
      </c>
    </row>
    <row r="19" spans="1:9">
      <c r="A19" t="s">
        <v>13</v>
      </c>
      <c r="B19" s="3">
        <f>+'Booker T Washington'!B19+'Executive Life'!B19+ELNY!B19+Imerica!B19+'Life Health America'!B19+'Lincoln Memorial'!B19+'Medical Savings'!B19+'Memorial Service'!B19+'National States'!B19+'Universal Health Care'!B19+'Universal Life'!B19</f>
        <v>122879738.4679119</v>
      </c>
      <c r="C19" s="3">
        <f>+'Booker T Washington'!C19+'Executive Life'!C19+ELNY!C19+Imerica!C19+'Life Health America'!C19+'Lincoln Memorial'!C19+'Medical Savings'!C19+'Memorial Service'!C19+'National States'!C19+'Universal Health Care'!C19+'Universal Life'!C19</f>
        <v>129223444.16424605</v>
      </c>
      <c r="D19" s="3">
        <f>+'Booker T Washington'!D19+'Executive Life'!D19+ELNY!D19+Imerica!D19+'Life Health America'!D19+'Lincoln Memorial'!D19+'Medical Savings'!D19+'Memorial Service'!D19+'National States'!D19+'Universal Health Care'!D19+'Universal Life'!D19</f>
        <v>16328208.556700401</v>
      </c>
      <c r="E19" s="3">
        <f>+'Booker T Washington'!E19+'Executive Life'!E19+ELNY!E19+Imerica!E19+'Life Health America'!E19+'Lincoln Memorial'!E19+'Medical Savings'!E19+'Memorial Service'!E19+'National States'!E19+'Universal Health Care'!E19+'Universal Life'!E19</f>
        <v>6406061.9074089788</v>
      </c>
      <c r="F19" s="3">
        <f t="shared" si="0"/>
        <v>274837453.09626734</v>
      </c>
      <c r="H19" t="s">
        <v>182</v>
      </c>
      <c r="I19" s="3">
        <f>+F65</f>
        <v>4366937374.185009</v>
      </c>
    </row>
    <row r="20" spans="1:9">
      <c r="A20" t="s">
        <v>14</v>
      </c>
      <c r="B20" s="3">
        <f>+'Booker T Washington'!B20+'Executive Life'!B20+ELNY!B20+Imerica!B20+'Life Health America'!B20+'Lincoln Memorial'!B20+'Medical Savings'!B20+'Memorial Service'!B20+'National States'!B20+'Universal Health Care'!B20+'Universal Life'!B20</f>
        <v>25362951.051052373</v>
      </c>
      <c r="C20" s="3">
        <f>+'Booker T Washington'!C20+'Executive Life'!C20+ELNY!C20+Imerica!C20+'Life Health America'!C20+'Lincoln Memorial'!C20+'Medical Savings'!C20+'Memorial Service'!C20+'National States'!C20+'Universal Health Care'!C20+'Universal Life'!C20</f>
        <v>28597122.735806286</v>
      </c>
      <c r="D20" s="3">
        <f>+'Booker T Washington'!D20+'Executive Life'!D20+ELNY!D20+Imerica!D20+'Life Health America'!D20+'Lincoln Memorial'!D20+'Medical Savings'!D20+'Memorial Service'!D20+'National States'!D20+'Universal Health Care'!D20+'Universal Life'!D20</f>
        <v>3998950.0286086123</v>
      </c>
      <c r="E20" s="3">
        <f>+'Booker T Washington'!E20+'Executive Life'!E20+ELNY!E20+Imerica!E20+'Life Health America'!E20+'Lincoln Memorial'!E20+'Medical Savings'!E20+'Memorial Service'!E20+'National States'!E20+'Universal Health Care'!E20+'Universal Life'!E20</f>
        <v>13020.561750198573</v>
      </c>
      <c r="F20" s="3">
        <f t="shared" si="0"/>
        <v>57972044.377217472</v>
      </c>
      <c r="I20" s="3">
        <f>+I18-I19</f>
        <v>0</v>
      </c>
    </row>
    <row r="21" spans="1:9">
      <c r="A21" t="s">
        <v>15</v>
      </c>
      <c r="B21" s="3">
        <f>+'Booker T Washington'!B21+'Executive Life'!B21+ELNY!B21+Imerica!B21+'Life Health America'!B21+'Lincoln Memorial'!B21+'Medical Savings'!B21+'Memorial Service'!B21+'National States'!B21+'Universal Health Care'!B21+'Universal Life'!B21</f>
        <v>32799828.6700565</v>
      </c>
      <c r="C21" s="3">
        <f>+'Booker T Washington'!C21+'Executive Life'!C21+ELNY!C21+Imerica!C21+'Life Health America'!C21+'Lincoln Memorial'!C21+'Medical Savings'!C21+'Memorial Service'!C21+'National States'!C21+'Universal Health Care'!C21+'Universal Life'!C21</f>
        <v>25672137.586948648</v>
      </c>
      <c r="D21" s="3">
        <f>+'Booker T Washington'!D21+'Executive Life'!D21+ELNY!D21+Imerica!D21+'Life Health America'!D21+'Lincoln Memorial'!D21+'Medical Savings'!D21+'Memorial Service'!D21+'National States'!D21+'Universal Health Care'!D21+'Universal Life'!D21</f>
        <v>691470.87509465765</v>
      </c>
      <c r="E21" s="3">
        <f>+'Booker T Washington'!E21+'Executive Life'!E21+ELNY!E21+Imerica!E21+'Life Health America'!E21+'Lincoln Memorial'!E21+'Medical Savings'!E21+'Memorial Service'!E21+'National States'!E21+'Universal Health Care'!E21+'Universal Life'!E21</f>
        <v>39957.178372555136</v>
      </c>
      <c r="F21" s="3">
        <f t="shared" si="0"/>
        <v>59203394.310472362</v>
      </c>
    </row>
    <row r="22" spans="1:9">
      <c r="A22" t="s">
        <v>16</v>
      </c>
      <c r="B22" s="3">
        <f>+'Booker T Washington'!B22+'Executive Life'!B22+ELNY!B22+Imerica!B22+'Life Health America'!B22+'Lincoln Memorial'!B22+'Medical Savings'!B22+'Memorial Service'!B22+'National States'!B22+'Universal Health Care'!B22+'Universal Life'!B22</f>
        <v>41914327.334538996</v>
      </c>
      <c r="C22" s="3">
        <f>+'Booker T Washington'!C22+'Executive Life'!C22+ELNY!C22+Imerica!C22+'Life Health America'!C22+'Lincoln Memorial'!C22+'Medical Savings'!C22+'Memorial Service'!C22+'National States'!C22+'Universal Health Care'!C22+'Universal Life'!C22</f>
        <v>10805469.954764003</v>
      </c>
      <c r="D22" s="3">
        <f>+'Booker T Washington'!D22+'Executive Life'!D22+ELNY!D22+Imerica!D22+'Life Health America'!D22+'Lincoln Memorial'!D22+'Medical Savings'!D22+'Memorial Service'!D22+'National States'!D22+'Universal Health Care'!D22+'Universal Life'!D22</f>
        <v>707543.10484635399</v>
      </c>
      <c r="E22" s="3">
        <f>+'Booker T Washington'!E22+'Executive Life'!E22+ELNY!E22+Imerica!E22+'Life Health America'!E22+'Lincoln Memorial'!E22+'Medical Savings'!E22+'Memorial Service'!E22+'National States'!E22+'Universal Health Care'!E22+'Universal Life'!E22</f>
        <v>0</v>
      </c>
      <c r="F22" s="3">
        <f t="shared" si="0"/>
        <v>53427340.394149348</v>
      </c>
    </row>
    <row r="23" spans="1:9">
      <c r="A23" t="s">
        <v>17</v>
      </c>
      <c r="B23" s="3">
        <f>+'Booker T Washington'!B23+'Executive Life'!B23+ELNY!B23+Imerica!B23+'Life Health America'!B23+'Lincoln Memorial'!B23+'Medical Savings'!B23+'Memorial Service'!B23+'National States'!B23+'Universal Health Care'!B23+'Universal Life'!B23</f>
        <v>22392832.137775179</v>
      </c>
      <c r="C23" s="3">
        <f>+'Booker T Washington'!C23+'Executive Life'!C23+ELNY!C23+Imerica!C23+'Life Health America'!C23+'Lincoln Memorial'!C23+'Medical Savings'!C23+'Memorial Service'!C23+'National States'!C23+'Universal Health Care'!C23+'Universal Life'!C23</f>
        <v>23971055.097001664</v>
      </c>
      <c r="D23" s="3">
        <f>+'Booker T Washington'!D23+'Executive Life'!D23+ELNY!D23+Imerica!D23+'Life Health America'!D23+'Lincoln Memorial'!D23+'Medical Savings'!D23+'Memorial Service'!D23+'National States'!D23+'Universal Health Care'!D23+'Universal Life'!D23</f>
        <v>18247315.371280409</v>
      </c>
      <c r="E23" s="3">
        <f>+'Booker T Washington'!E23+'Executive Life'!E23+ELNY!E23+Imerica!E23+'Life Health America'!E23+'Lincoln Memorial'!E23+'Medical Savings'!E23+'Memorial Service'!E23+'National States'!E23+'Universal Health Care'!E23+'Universal Life'!E23</f>
        <v>0</v>
      </c>
      <c r="F23" s="3">
        <f t="shared" si="0"/>
        <v>64611202.606057249</v>
      </c>
    </row>
    <row r="24" spans="1:9">
      <c r="A24" t="s">
        <v>18</v>
      </c>
      <c r="B24" s="3">
        <f>+'Booker T Washington'!B24+'Executive Life'!B24+ELNY!B24+Imerica!B24+'Life Health America'!B24+'Lincoln Memorial'!B24+'Medical Savings'!B24+'Memorial Service'!B24+'National States'!B24+'Universal Health Care'!B24+'Universal Life'!B24</f>
        <v>3230339.2982334001</v>
      </c>
      <c r="C24" s="3">
        <f>+'Booker T Washington'!C24+'Executive Life'!C24+ELNY!C24+Imerica!C24+'Life Health America'!C24+'Lincoln Memorial'!C24+'Medical Savings'!C24+'Memorial Service'!C24+'National States'!C24+'Universal Health Care'!C24+'Universal Life'!C24</f>
        <v>7407.0538743933221</v>
      </c>
      <c r="D24" s="3">
        <f>+'Booker T Washington'!D24+'Executive Life'!D24+ELNY!D24+Imerica!D24+'Life Health America'!D24+'Lincoln Memorial'!D24+'Medical Savings'!D24+'Memorial Service'!D24+'National States'!D24+'Universal Health Care'!D24+'Universal Life'!D24</f>
        <v>1202556.5301747334</v>
      </c>
      <c r="E24" s="3">
        <f>+'Booker T Washington'!E24+'Executive Life'!E24+ELNY!E24+Imerica!E24+'Life Health America'!E24+'Lincoln Memorial'!E24+'Medical Savings'!E24+'Memorial Service'!E24+'National States'!E24+'Universal Health Care'!E24+'Universal Life'!E24</f>
        <v>0</v>
      </c>
      <c r="F24" s="3">
        <f t="shared" si="0"/>
        <v>4440302.8822825272</v>
      </c>
    </row>
    <row r="25" spans="1:9">
      <c r="A25" t="s">
        <v>19</v>
      </c>
      <c r="B25" s="3">
        <f>+'Booker T Washington'!B25+'Executive Life'!B25+ELNY!B25+Imerica!B25+'Life Health America'!B25+'Lincoln Memorial'!B25+'Medical Savings'!B25+'Memorial Service'!B25+'National States'!B25+'Universal Health Care'!B25+'Universal Life'!B25</f>
        <v>5729.1792131776729</v>
      </c>
      <c r="C25" s="3">
        <f>+'Booker T Washington'!C25+'Executive Life'!C25+ELNY!C25+Imerica!C25+'Life Health America'!C25+'Lincoln Memorial'!C25+'Medical Savings'!C25+'Memorial Service'!C25+'National States'!C25+'Universal Health Care'!C25+'Universal Life'!C25</f>
        <v>1360363.9815374659</v>
      </c>
      <c r="D25" s="3">
        <f>+'Booker T Washington'!D25+'Executive Life'!D25+ELNY!D25+Imerica!D25+'Life Health America'!D25+'Lincoln Memorial'!D25+'Medical Savings'!D25+'Memorial Service'!D25+'National States'!D25+'Universal Health Care'!D25+'Universal Life'!D25</f>
        <v>-857</v>
      </c>
      <c r="E25" s="3">
        <f>+'Booker T Washington'!E25+'Executive Life'!E25+ELNY!E25+Imerica!E25+'Life Health America'!E25+'Lincoln Memorial'!E25+'Medical Savings'!E25+'Memorial Service'!E25+'National States'!E25+'Universal Health Care'!E25+'Universal Life'!E25</f>
        <v>0</v>
      </c>
      <c r="F25" s="3">
        <f t="shared" si="0"/>
        <v>1365236.1607506436</v>
      </c>
    </row>
    <row r="26" spans="1:9">
      <c r="A26" t="s">
        <v>20</v>
      </c>
      <c r="B26" s="3">
        <f>+'Booker T Washington'!B26+'Executive Life'!B26+ELNY!B26+Imerica!B26+'Life Health America'!B26+'Lincoln Memorial'!B26+'Medical Savings'!B26+'Memorial Service'!B26+'National States'!B26+'Universal Health Care'!B26+'Universal Life'!B26</f>
        <v>18397750.125410382</v>
      </c>
      <c r="C26" s="3">
        <f>+'Booker T Washington'!C26+'Executive Life'!C26+ELNY!C26+Imerica!C26+'Life Health America'!C26+'Lincoln Memorial'!C26+'Medical Savings'!C26+'Memorial Service'!C26+'National States'!C26+'Universal Health Care'!C26+'Universal Life'!C26</f>
        <v>26533462.629521579</v>
      </c>
      <c r="D26" s="3">
        <f>+'Booker T Washington'!D26+'Executive Life'!D26+ELNY!D26+Imerica!D26+'Life Health America'!D26+'Lincoln Memorial'!D26+'Medical Savings'!D26+'Memorial Service'!D26+'National States'!D26+'Universal Health Care'!D26+'Universal Life'!D26</f>
        <v>1607744.5461918446</v>
      </c>
      <c r="E26" s="3">
        <f>+'Booker T Washington'!E26+'Executive Life'!E26+ELNY!E26+Imerica!E26+'Life Health America'!E26+'Lincoln Memorial'!E26+'Medical Savings'!E26+'Memorial Service'!E26+'National States'!E26+'Universal Health Care'!E26+'Universal Life'!E26</f>
        <v>5594281.3234661985</v>
      </c>
      <c r="F26" s="3">
        <f t="shared" si="0"/>
        <v>52133238.624589995</v>
      </c>
    </row>
    <row r="27" spans="1:9">
      <c r="A27" t="s">
        <v>21</v>
      </c>
      <c r="B27" s="3">
        <f>+'Booker T Washington'!B27+'Executive Life'!B27+ELNY!B27+Imerica!B27+'Life Health America'!B27+'Lincoln Memorial'!B27+'Medical Savings'!B27+'Memorial Service'!B27+'National States'!B27+'Universal Health Care'!B27+'Universal Life'!B27</f>
        <v>41813474.233325377</v>
      </c>
      <c r="C27" s="3">
        <f>+'Booker T Washington'!C27+'Executive Life'!C27+ELNY!C27+Imerica!C27+'Life Health America'!C27+'Lincoln Memorial'!C27+'Medical Savings'!C27+'Memorial Service'!C27+'National States'!C27+'Universal Health Care'!C27+'Universal Life'!C27</f>
        <v>43129588.081720799</v>
      </c>
      <c r="D27" s="3">
        <f>+'Booker T Washington'!D27+'Executive Life'!D27+ELNY!D27+Imerica!D27+'Life Health America'!D27+'Lincoln Memorial'!D27+'Medical Savings'!D27+'Memorial Service'!D27+'National States'!D27+'Universal Health Care'!D27+'Universal Life'!D27</f>
        <v>0</v>
      </c>
      <c r="E27" s="3">
        <f>+'Booker T Washington'!E27+'Executive Life'!E27+ELNY!E27+Imerica!E27+'Life Health America'!E27+'Lincoln Memorial'!E27+'Medical Savings'!E27+'Memorial Service'!E27+'National States'!E27+'Universal Health Care'!E27+'Universal Life'!E27</f>
        <v>0</v>
      </c>
      <c r="F27" s="3">
        <f t="shared" si="0"/>
        <v>84943062.315046176</v>
      </c>
    </row>
    <row r="28" spans="1:9">
      <c r="A28" t="s">
        <v>22</v>
      </c>
      <c r="B28" s="3">
        <f>+'Booker T Washington'!B28+'Executive Life'!B28+ELNY!B28+Imerica!B28+'Life Health America'!B28+'Lincoln Memorial'!B28+'Medical Savings'!B28+'Memorial Service'!B28+'National States'!B28+'Universal Health Care'!B28+'Universal Life'!B28</f>
        <v>252360.48159406133</v>
      </c>
      <c r="C28" s="3">
        <f>+'Booker T Washington'!C28+'Executive Life'!C28+ELNY!C28+Imerica!C28+'Life Health America'!C28+'Lincoln Memorial'!C28+'Medical Savings'!C28+'Memorial Service'!C28+'National States'!C28+'Universal Health Care'!C28+'Universal Life'!C28</f>
        <v>12462840.79797321</v>
      </c>
      <c r="D28" s="3">
        <f>+'Booker T Washington'!D28+'Executive Life'!D28+ELNY!D28+Imerica!D28+'Life Health America'!D28+'Lincoln Memorial'!D28+'Medical Savings'!D28+'Memorial Service'!D28+'National States'!D28+'Universal Health Care'!D28+'Universal Life'!D28</f>
        <v>611399.87864600273</v>
      </c>
      <c r="E28" s="3">
        <f>+'Booker T Washington'!E28+'Executive Life'!E28+ELNY!E28+Imerica!E28+'Life Health America'!E28+'Lincoln Memorial'!E28+'Medical Savings'!E28+'Memorial Service'!E28+'National States'!E28+'Universal Health Care'!E28+'Universal Life'!E28</f>
        <v>-84469.889354291532</v>
      </c>
      <c r="F28" s="3">
        <f t="shared" si="0"/>
        <v>13242131.268858982</v>
      </c>
    </row>
    <row r="29" spans="1:9">
      <c r="A29" t="s">
        <v>23</v>
      </c>
      <c r="B29" s="3">
        <f>+'Booker T Washington'!B29+'Executive Life'!B29+ELNY!B29+Imerica!B29+'Life Health America'!B29+'Lincoln Memorial'!B29+'Medical Savings'!B29+'Memorial Service'!B29+'National States'!B29+'Universal Health Care'!B29+'Universal Life'!B29</f>
        <v>14440868.75217667</v>
      </c>
      <c r="C29" s="3">
        <f>+'Booker T Washington'!C29+'Executive Life'!C29+ELNY!C29+Imerica!C29+'Life Health America'!C29+'Lincoln Memorial'!C29+'Medical Savings'!C29+'Memorial Service'!C29+'National States'!C29+'Universal Health Care'!C29+'Universal Life'!C29</f>
        <v>39463935.98797179</v>
      </c>
      <c r="D29" s="3">
        <f>+'Booker T Washington'!D29+'Executive Life'!D29+ELNY!D29+Imerica!D29+'Life Health America'!D29+'Lincoln Memorial'!D29+'Medical Savings'!D29+'Memorial Service'!D29+'National States'!D29+'Universal Health Care'!D29+'Universal Life'!D29</f>
        <v>105614.41096090653</v>
      </c>
      <c r="E29" s="3">
        <f>+'Booker T Washington'!E29+'Executive Life'!E29+ELNY!E29+Imerica!E29+'Life Health America'!E29+'Lincoln Memorial'!E29+'Medical Savings'!E29+'Memorial Service'!E29+'National States'!E29+'Universal Health Care'!E29+'Universal Life'!E29</f>
        <v>10368.844002880047</v>
      </c>
      <c r="F29" s="3">
        <f t="shared" si="0"/>
        <v>54020787.995112248</v>
      </c>
    </row>
    <row r="30" spans="1:9">
      <c r="A30" t="s">
        <v>24</v>
      </c>
      <c r="B30" s="3">
        <f>+'Booker T Washington'!B30+'Executive Life'!B30+ELNY!B30+Imerica!B30+'Life Health America'!B30+'Lincoln Memorial'!B30+'Medical Savings'!B30+'Memorial Service'!B30+'National States'!B30+'Universal Health Care'!B30+'Universal Life'!B30</f>
        <v>19250612.437137008</v>
      </c>
      <c r="C30" s="3">
        <f>+'Booker T Washington'!C30+'Executive Life'!C30+ELNY!C30+Imerica!C30+'Life Health America'!C30+'Lincoln Memorial'!C30+'Medical Savings'!C30+'Memorial Service'!C30+'National States'!C30+'Universal Health Care'!C30+'Universal Life'!C30</f>
        <v>6376780.9707142198</v>
      </c>
      <c r="D30" s="3">
        <f>+'Booker T Washington'!D30+'Executive Life'!D30+ELNY!D30+Imerica!D30+'Life Health America'!D30+'Lincoln Memorial'!D30+'Medical Savings'!D30+'Memorial Service'!D30+'National States'!D30+'Universal Health Care'!D30+'Universal Life'!D30</f>
        <v>1217747.2070757034</v>
      </c>
      <c r="E30" s="3">
        <f>+'Booker T Washington'!E30+'Executive Life'!E30+ELNY!E30+Imerica!E30+'Life Health America'!E30+'Lincoln Memorial'!E30+'Medical Savings'!E30+'Memorial Service'!E30+'National States'!E30+'Universal Health Care'!E30+'Universal Life'!E30</f>
        <v>93754.74228361962</v>
      </c>
      <c r="F30" s="3">
        <f t="shared" si="0"/>
        <v>26938895.35721055</v>
      </c>
    </row>
    <row r="31" spans="1:9">
      <c r="A31" t="s">
        <v>25</v>
      </c>
      <c r="B31" s="3">
        <f>+'Booker T Washington'!B31+'Executive Life'!B31+ELNY!B31+Imerica!B31+'Life Health America'!B31+'Lincoln Memorial'!B31+'Medical Savings'!B31+'Memorial Service'!B31+'National States'!B31+'Universal Health Care'!B31+'Universal Life'!B31</f>
        <v>181939253.53925774</v>
      </c>
      <c r="C31" s="3">
        <f>+'Booker T Washington'!C31+'Executive Life'!C31+ELNY!C31+Imerica!C31+'Life Health America'!C31+'Lincoln Memorial'!C31+'Medical Savings'!C31+'Memorial Service'!C31+'National States'!C31+'Universal Health Care'!C31+'Universal Life'!C31</f>
        <v>26154054.899739381</v>
      </c>
      <c r="D31" s="3">
        <f>+'Booker T Washington'!D31+'Executive Life'!D31+ELNY!D31+Imerica!D31+'Life Health America'!D31+'Lincoln Memorial'!D31+'Medical Savings'!D31+'Memorial Service'!D31+'National States'!D31+'Universal Health Care'!D31+'Universal Life'!D31</f>
        <v>12219708.191687901</v>
      </c>
      <c r="E31" s="3">
        <f>+'Booker T Washington'!E31+'Executive Life'!E31+ELNY!E31+Imerica!E31+'Life Health America'!E31+'Lincoln Memorial'!E31+'Medical Savings'!E31+'Memorial Service'!E31+'National States'!E31+'Universal Health Care'!E31+'Universal Life'!E31</f>
        <v>0</v>
      </c>
      <c r="F31" s="3">
        <f t="shared" si="0"/>
        <v>220313016.63068503</v>
      </c>
    </row>
    <row r="32" spans="1:9">
      <c r="A32" t="s">
        <v>26</v>
      </c>
      <c r="B32" s="3">
        <f>+'Booker T Washington'!B32+'Executive Life'!B32+ELNY!B32+Imerica!B32+'Life Health America'!B32+'Lincoln Memorial'!B32+'Medical Savings'!B32+'Memorial Service'!B32+'National States'!B32+'Universal Health Care'!B32+'Universal Life'!B32</f>
        <v>3713500.010062417</v>
      </c>
      <c r="C32" s="3">
        <f>+'Booker T Washington'!C32+'Executive Life'!C32+ELNY!C32+Imerica!C32+'Life Health America'!C32+'Lincoln Memorial'!C32+'Medical Savings'!C32+'Memorial Service'!C32+'National States'!C32+'Universal Health Care'!C32+'Universal Life'!C32</f>
        <v>4492645.001232313</v>
      </c>
      <c r="D32" s="3">
        <f>+'Booker T Washington'!D32+'Executive Life'!D32+ELNY!D32+Imerica!D32+'Life Health America'!D32+'Lincoln Memorial'!D32+'Medical Savings'!D32+'Memorial Service'!D32+'National States'!D32+'Universal Health Care'!D32+'Universal Life'!D32</f>
        <v>295076.02432845713</v>
      </c>
      <c r="E32" s="3">
        <f>+'Booker T Washington'!E32+'Executive Life'!E32+ELNY!E32+Imerica!E32+'Life Health America'!E32+'Lincoln Memorial'!E32+'Medical Savings'!E32+'Memorial Service'!E32+'National States'!E32+'Universal Health Care'!E32+'Universal Life'!E32</f>
        <v>0</v>
      </c>
      <c r="F32" s="3">
        <f t="shared" si="0"/>
        <v>8501221.0356231872</v>
      </c>
    </row>
    <row r="33" spans="1:6">
      <c r="A33" t="s">
        <v>27</v>
      </c>
      <c r="B33" s="3">
        <f>+'Booker T Washington'!B33+'Executive Life'!B33+ELNY!B33+Imerica!B33+'Life Health America'!B33+'Lincoln Memorial'!B33+'Medical Savings'!B33+'Memorial Service'!B33+'National States'!B33+'Universal Health Care'!B33+'Universal Life'!B33</f>
        <v>14172495.891860621</v>
      </c>
      <c r="C33" s="3">
        <f>+'Booker T Washington'!C33+'Executive Life'!C33+ELNY!C33+Imerica!C33+'Life Health America'!C33+'Lincoln Memorial'!C33+'Medical Savings'!C33+'Memorial Service'!C33+'National States'!C33+'Universal Health Care'!C33+'Universal Life'!C33</f>
        <v>7467876.3955177227</v>
      </c>
      <c r="D33" s="3">
        <f>+'Booker T Washington'!D33+'Executive Life'!D33+ELNY!D33+Imerica!D33+'Life Health America'!D33+'Lincoln Memorial'!D33+'Medical Savings'!D33+'Memorial Service'!D33+'National States'!D33+'Universal Health Care'!D33+'Universal Life'!D33</f>
        <v>2691133.5884856195</v>
      </c>
      <c r="E33" s="3">
        <f>+'Booker T Washington'!E33+'Executive Life'!E33+ELNY!E33+Imerica!E33+'Life Health America'!E33+'Lincoln Memorial'!E33+'Medical Savings'!E33+'Memorial Service'!E33+'National States'!E33+'Universal Health Care'!E33+'Universal Life'!E33</f>
        <v>0</v>
      </c>
      <c r="F33" s="3">
        <f t="shared" si="0"/>
        <v>24331505.875863966</v>
      </c>
    </row>
    <row r="34" spans="1:6">
      <c r="A34" t="s">
        <v>28</v>
      </c>
      <c r="B34" s="3">
        <f>+'Booker T Washington'!B34+'Executive Life'!B34+ELNY!B34+Imerica!B34+'Life Health America'!B34+'Lincoln Memorial'!B34+'Medical Savings'!B34+'Memorial Service'!B34+'National States'!B34+'Universal Health Care'!B34+'Universal Life'!B34</f>
        <v>12673683.071782736</v>
      </c>
      <c r="C34" s="3">
        <f>+'Booker T Washington'!C34+'Executive Life'!C34+ELNY!C34+Imerica!C34+'Life Health America'!C34+'Lincoln Memorial'!C34+'Medical Savings'!C34+'Memorial Service'!C34+'National States'!C34+'Universal Health Care'!C34+'Universal Life'!C34</f>
        <v>7461767.4825859256</v>
      </c>
      <c r="D34" s="3">
        <f>+'Booker T Washington'!D34+'Executive Life'!D34+ELNY!D34+Imerica!D34+'Life Health America'!D34+'Lincoln Memorial'!D34+'Medical Savings'!D34+'Memorial Service'!D34+'National States'!D34+'Universal Health Care'!D34+'Universal Life'!D34</f>
        <v>4232142.9767797543</v>
      </c>
      <c r="E34" s="3">
        <f>+'Booker T Washington'!E34+'Executive Life'!E34+ELNY!E34+Imerica!E34+'Life Health America'!E34+'Lincoln Memorial'!E34+'Medical Savings'!E34+'Memorial Service'!E34+'National States'!E34+'Universal Health Care'!E34+'Universal Life'!E34</f>
        <v>0</v>
      </c>
      <c r="F34" s="3">
        <f t="shared" si="0"/>
        <v>24367593.531148415</v>
      </c>
    </row>
    <row r="35" spans="1:6">
      <c r="A35" t="s">
        <v>29</v>
      </c>
      <c r="B35" s="3">
        <f>+'Booker T Washington'!B35+'Executive Life'!B35+ELNY!B35+Imerica!B35+'Life Health America'!B35+'Lincoln Memorial'!B35+'Medical Savings'!B35+'Memorial Service'!B35+'National States'!B35+'Universal Health Care'!B35+'Universal Life'!B35</f>
        <v>0</v>
      </c>
      <c r="C35" s="3">
        <f>+'Booker T Washington'!C35+'Executive Life'!C35+ELNY!C35+Imerica!C35+'Life Health America'!C35+'Lincoln Memorial'!C35+'Medical Savings'!C35+'Memorial Service'!C35+'National States'!C35+'Universal Health Care'!C35+'Universal Life'!C35</f>
        <v>1903006.7181439309</v>
      </c>
      <c r="D35" s="3">
        <f>+'Booker T Washington'!D35+'Executive Life'!D35+ELNY!D35+Imerica!D35+'Life Health America'!D35+'Lincoln Memorial'!D35+'Medical Savings'!D35+'Memorial Service'!D35+'National States'!D35+'Universal Health Care'!D35+'Universal Life'!D35</f>
        <v>0</v>
      </c>
      <c r="E35" s="3">
        <f>+'Booker T Washington'!E35+'Executive Life'!E35+ELNY!E35+Imerica!E35+'Life Health America'!E35+'Lincoln Memorial'!E35+'Medical Savings'!E35+'Memorial Service'!E35+'National States'!E35+'Universal Health Care'!E35+'Universal Life'!E35</f>
        <v>0</v>
      </c>
      <c r="F35" s="3">
        <f t="shared" si="0"/>
        <v>1903006.7181439309</v>
      </c>
    </row>
    <row r="36" spans="1:6">
      <c r="A36" t="s">
        <v>30</v>
      </c>
      <c r="B36" s="3">
        <f>+'Booker T Washington'!B36+'Executive Life'!B36+ELNY!B36+Imerica!B36+'Life Health America'!B36+'Lincoln Memorial'!B36+'Medical Savings'!B36+'Memorial Service'!B36+'National States'!B36+'Universal Health Care'!B36+'Universal Life'!B36</f>
        <v>20305195.634292193</v>
      </c>
      <c r="C36" s="3">
        <f>+'Booker T Washington'!C36+'Executive Life'!C36+ELNY!C36+Imerica!C36+'Life Health America'!C36+'Lincoln Memorial'!C36+'Medical Savings'!C36+'Memorial Service'!C36+'National States'!C36+'Universal Health Care'!C36+'Universal Life'!C36</f>
        <v>107446773.39959501</v>
      </c>
      <c r="D36" s="3">
        <f>+'Booker T Washington'!D36+'Executive Life'!D36+ELNY!D36+Imerica!D36+'Life Health America'!D36+'Lincoln Memorial'!D36+'Medical Savings'!D36+'Memorial Service'!D36+'National States'!D36+'Universal Health Care'!D36+'Universal Life'!D36</f>
        <v>0</v>
      </c>
      <c r="E36" s="3">
        <f>+'Booker T Washington'!E36+'Executive Life'!E36+ELNY!E36+Imerica!E36+'Life Health America'!E36+'Lincoln Memorial'!E36+'Medical Savings'!E36+'Memorial Service'!E36+'National States'!E36+'Universal Health Care'!E36+'Universal Life'!E36</f>
        <v>1118118.0917888165</v>
      </c>
      <c r="F36" s="3">
        <f t="shared" si="0"/>
        <v>128870087.12567602</v>
      </c>
    </row>
    <row r="37" spans="1:6">
      <c r="A37" t="s">
        <v>31</v>
      </c>
      <c r="B37" s="3">
        <f>+'Booker T Washington'!B37+'Executive Life'!B37+ELNY!B37+Imerica!B37+'Life Health America'!B37+'Lincoln Memorial'!B37+'Medical Savings'!B37+'Memorial Service'!B37+'National States'!B37+'Universal Health Care'!B37+'Universal Life'!B37</f>
        <v>4375352.5978694558</v>
      </c>
      <c r="C37" s="3">
        <f>+'Booker T Washington'!C37+'Executive Life'!C37+ELNY!C37+Imerica!C37+'Life Health America'!C37+'Lincoln Memorial'!C37+'Medical Savings'!C37+'Memorial Service'!C37+'National States'!C37+'Universal Health Care'!C37+'Universal Life'!C37</f>
        <v>8481858.3107854556</v>
      </c>
      <c r="D37" s="3">
        <f>+'Booker T Washington'!D37+'Executive Life'!D37+ELNY!D37+Imerica!D37+'Life Health America'!D37+'Lincoln Memorial'!D37+'Medical Savings'!D37+'Memorial Service'!D37+'National States'!D37+'Universal Health Care'!D37+'Universal Life'!D37</f>
        <v>666639.39037235151</v>
      </c>
      <c r="E37" s="3">
        <f>+'Booker T Washington'!E37+'Executive Life'!E37+ELNY!E37+Imerica!E37+'Life Health America'!E37+'Lincoln Memorial'!E37+'Medical Savings'!E37+'Memorial Service'!E37+'National States'!E37+'Universal Health Care'!E37+'Universal Life'!E37</f>
        <v>0</v>
      </c>
      <c r="F37" s="3">
        <f t="shared" si="0"/>
        <v>13523850.299027262</v>
      </c>
    </row>
    <row r="38" spans="1:6">
      <c r="A38" t="s">
        <v>32</v>
      </c>
      <c r="B38" s="3">
        <f>+'Booker T Washington'!B38+'Executive Life'!B38+ELNY!B38+Imerica!B38+'Life Health America'!B38+'Lincoln Memorial'!B38+'Medical Savings'!B38+'Memorial Service'!B38+'National States'!B38+'Universal Health Care'!B38+'Universal Life'!B38</f>
        <v>0</v>
      </c>
      <c r="C38" s="3">
        <f>+'Booker T Washington'!C38+'Executive Life'!C38+ELNY!C38+Imerica!C38+'Life Health America'!C38+'Lincoln Memorial'!C38+'Medical Savings'!C38+'Memorial Service'!C38+'National States'!C38+'Universal Health Care'!C38+'Universal Life'!C38</f>
        <v>497150624.36854577</v>
      </c>
      <c r="D38" s="3">
        <f>+'Booker T Washington'!D38+'Executive Life'!D38+ELNY!D38+Imerica!D38+'Life Health America'!D38+'Lincoln Memorial'!D38+'Medical Savings'!D38+'Memorial Service'!D38+'National States'!D38+'Universal Health Care'!D38+'Universal Life'!D38</f>
        <v>0</v>
      </c>
      <c r="E38" s="3">
        <f>+'Booker T Washington'!E38+'Executive Life'!E38+ELNY!E38+Imerica!E38+'Life Health America'!E38+'Lincoln Memorial'!E38+'Medical Savings'!E38+'Memorial Service'!E38+'National States'!E38+'Universal Health Care'!E38+'Universal Life'!E38</f>
        <v>0</v>
      </c>
      <c r="F38" s="3">
        <f t="shared" ref="F38:F58" si="1">SUM(B38:E38)</f>
        <v>497150624.36854577</v>
      </c>
    </row>
    <row r="39" spans="1:6">
      <c r="A39" t="s">
        <v>33</v>
      </c>
      <c r="B39" s="3">
        <f>+'Booker T Washington'!B39+'Executive Life'!B39+ELNY!B39+Imerica!B39+'Life Health America'!B39+'Lincoln Memorial'!B39+'Medical Savings'!B39+'Memorial Service'!B39+'National States'!B39+'Universal Health Care'!B39+'Universal Life'!B39</f>
        <v>30695309.432102881</v>
      </c>
      <c r="C39" s="3">
        <f>+'Booker T Washington'!C39+'Executive Life'!C39+ELNY!C39+Imerica!C39+'Life Health America'!C39+'Lincoln Memorial'!C39+'Medical Savings'!C39+'Memorial Service'!C39+'National States'!C39+'Universal Health Care'!C39+'Universal Life'!C39</f>
        <v>88155839.751945958</v>
      </c>
      <c r="D39" s="3">
        <f>+'Booker T Washington'!D39+'Executive Life'!D39+ELNY!D39+Imerica!D39+'Life Health America'!D39+'Lincoln Memorial'!D39+'Medical Savings'!D39+'Memorial Service'!D39+'National States'!D39+'Universal Health Care'!D39+'Universal Life'!D39</f>
        <v>2327450.7774927034</v>
      </c>
      <c r="E39" s="3">
        <f>+'Booker T Washington'!E39+'Executive Life'!E39+ELNY!E39+Imerica!E39+'Life Health America'!E39+'Lincoln Memorial'!E39+'Medical Savings'!E39+'Memorial Service'!E39+'National States'!E39+'Universal Health Care'!E39+'Universal Life'!E39</f>
        <v>0</v>
      </c>
      <c r="F39" s="3">
        <f t="shared" si="1"/>
        <v>121178599.96154153</v>
      </c>
    </row>
    <row r="40" spans="1:6">
      <c r="A40" t="s">
        <v>34</v>
      </c>
      <c r="B40" s="3">
        <f>+'Booker T Washington'!B40+'Executive Life'!B40+ELNY!B40+Imerica!B40+'Life Health America'!B40+'Lincoln Memorial'!B40+'Medical Savings'!B40+'Memorial Service'!B40+'National States'!B40+'Universal Health Care'!B40+'Universal Life'!B40</f>
        <v>3350887.3198984503</v>
      </c>
      <c r="C40" s="3">
        <f>+'Booker T Washington'!C40+'Executive Life'!C40+ELNY!C40+Imerica!C40+'Life Health America'!C40+'Lincoln Memorial'!C40+'Medical Savings'!C40+'Memorial Service'!C40+'National States'!C40+'Universal Health Care'!C40+'Universal Life'!C40</f>
        <v>5076558.1687375149</v>
      </c>
      <c r="D40" s="3">
        <f>+'Booker T Washington'!D40+'Executive Life'!D40+ELNY!D40+Imerica!D40+'Life Health America'!D40+'Lincoln Memorial'!D40+'Medical Savings'!D40+'Memorial Service'!D40+'National States'!D40+'Universal Health Care'!D40+'Universal Life'!D40</f>
        <v>2156346.3821604778</v>
      </c>
      <c r="E40" s="3">
        <f>+'Booker T Washington'!E40+'Executive Life'!E40+ELNY!E40+Imerica!E40+'Life Health America'!E40+'Lincoln Memorial'!E40+'Medical Savings'!E40+'Memorial Service'!E40+'National States'!E40+'Universal Health Care'!E40+'Universal Life'!E40</f>
        <v>28895.566860911527</v>
      </c>
      <c r="F40" s="3">
        <f t="shared" si="1"/>
        <v>10612687.437657354</v>
      </c>
    </row>
    <row r="41" spans="1:6">
      <c r="A41" t="s">
        <v>35</v>
      </c>
      <c r="B41" s="3">
        <f>+'Booker T Washington'!B41+'Executive Life'!B41+ELNY!B41+Imerica!B41+'Life Health America'!B41+'Lincoln Memorial'!B41+'Medical Savings'!B41+'Memorial Service'!B41+'National States'!B41+'Universal Health Care'!B41+'Universal Life'!B41</f>
        <v>43920357.613763258</v>
      </c>
      <c r="C41" s="3">
        <f>+'Booker T Washington'!C41+'Executive Life'!C41+ELNY!C41+Imerica!C41+'Life Health America'!C41+'Lincoln Memorial'!C41+'Medical Savings'!C41+'Memorial Service'!C41+'National States'!C41+'Universal Health Care'!C41+'Universal Life'!C41</f>
        <v>42809038.631451532</v>
      </c>
      <c r="D41" s="3">
        <f>+'Booker T Washington'!D41+'Executive Life'!D41+ELNY!D41+Imerica!D41+'Life Health America'!D41+'Lincoln Memorial'!D41+'Medical Savings'!D41+'Memorial Service'!D41+'National States'!D41+'Universal Health Care'!D41+'Universal Life'!D41</f>
        <v>14762067.588636698</v>
      </c>
      <c r="E41" s="3">
        <f>+'Booker T Washington'!E41+'Executive Life'!E41+ELNY!E41+Imerica!E41+'Life Health America'!E41+'Lincoln Memorial'!E41+'Medical Savings'!E41+'Memorial Service'!E41+'National States'!E41+'Universal Health Care'!E41+'Universal Life'!E41</f>
        <v>1829961.9609238866</v>
      </c>
      <c r="F41" s="3">
        <f t="shared" si="1"/>
        <v>103321425.79477537</v>
      </c>
    </row>
    <row r="42" spans="1:6">
      <c r="A42" t="s">
        <v>36</v>
      </c>
      <c r="B42" s="3">
        <f>+'Booker T Washington'!B42+'Executive Life'!B42+ELNY!B42+Imerica!B42+'Life Health America'!B42+'Lincoln Memorial'!B42+'Medical Savings'!B42+'Memorial Service'!B42+'National States'!B42+'Universal Health Care'!B42+'Universal Life'!B42</f>
        <v>24303550.464011062</v>
      </c>
      <c r="C42" s="3">
        <f>+'Booker T Washington'!C42+'Executive Life'!C42+ELNY!C42+Imerica!C42+'Life Health America'!C42+'Lincoln Memorial'!C42+'Medical Savings'!C42+'Memorial Service'!C42+'National States'!C42+'Universal Health Care'!C42+'Universal Life'!C42</f>
        <v>18889894.590605672</v>
      </c>
      <c r="D42" s="3">
        <f>+'Booker T Washington'!D42+'Executive Life'!D42+ELNY!D42+Imerica!D42+'Life Health America'!D42+'Lincoln Memorial'!D42+'Medical Savings'!D42+'Memorial Service'!D42+'National States'!D42+'Universal Health Care'!D42+'Universal Life'!D42</f>
        <v>620978.79189308314</v>
      </c>
      <c r="E42" s="3">
        <f>+'Booker T Washington'!E42+'Executive Life'!E42+ELNY!E42+Imerica!E42+'Life Health America'!E42+'Lincoln Memorial'!E42+'Medical Savings'!E42+'Memorial Service'!E42+'National States'!E42+'Universal Health Care'!E42+'Universal Life'!E42</f>
        <v>0</v>
      </c>
      <c r="F42" s="3">
        <f t="shared" si="1"/>
        <v>43814423.846509814</v>
      </c>
    </row>
    <row r="43" spans="1:6">
      <c r="A43" t="s">
        <v>37</v>
      </c>
      <c r="B43" s="3">
        <f>+'Booker T Washington'!B43+'Executive Life'!B43+ELNY!B43+Imerica!B43+'Life Health America'!B43+'Lincoln Memorial'!B43+'Medical Savings'!B43+'Memorial Service'!B43+'National States'!B43+'Universal Health Care'!B43+'Universal Life'!B43</f>
        <v>15550328.51133522</v>
      </c>
      <c r="C43" s="3">
        <f>+'Booker T Washington'!C43+'Executive Life'!C43+ELNY!C43+Imerica!C43+'Life Health America'!C43+'Lincoln Memorial'!C43+'Medical Savings'!C43+'Memorial Service'!C43+'National States'!C43+'Universal Health Care'!C43+'Universal Life'!C43</f>
        <v>17467396.328839913</v>
      </c>
      <c r="D43" s="3">
        <f>+'Booker T Washington'!D43+'Executive Life'!D43+ELNY!D43+Imerica!D43+'Life Health America'!D43+'Lincoln Memorial'!D43+'Medical Savings'!D43+'Memorial Service'!D43+'National States'!D43+'Universal Health Care'!D43+'Universal Life'!D43</f>
        <v>199901.98751068811</v>
      </c>
      <c r="E43" s="3">
        <f>+'Booker T Washington'!E43+'Executive Life'!E43+ELNY!E43+Imerica!E43+'Life Health America'!E43+'Lincoln Memorial'!E43+'Medical Savings'!E43+'Memorial Service'!E43+'National States'!E43+'Universal Health Care'!E43+'Universal Life'!E43</f>
        <v>0</v>
      </c>
      <c r="F43" s="3">
        <f t="shared" si="1"/>
        <v>33217626.827685822</v>
      </c>
    </row>
    <row r="44" spans="1:6">
      <c r="A44" t="s">
        <v>38</v>
      </c>
      <c r="B44" s="3">
        <f>+'Booker T Washington'!B44+'Executive Life'!B44+ELNY!B44+Imerica!B44+'Life Health America'!B44+'Lincoln Memorial'!B44+'Medical Savings'!B44+'Memorial Service'!B44+'National States'!B44+'Universal Health Care'!B44+'Universal Life'!B44</f>
        <v>47899033.514312141</v>
      </c>
      <c r="C44" s="3">
        <f>+'Booker T Washington'!C44+'Executive Life'!C44+ELNY!C44+Imerica!C44+'Life Health America'!C44+'Lincoln Memorial'!C44+'Medical Savings'!C44+'Memorial Service'!C44+'National States'!C44+'Universal Health Care'!C44+'Universal Life'!C44</f>
        <v>216356777.88107517</v>
      </c>
      <c r="D44" s="3">
        <f>+'Booker T Washington'!D44+'Executive Life'!D44+ELNY!D44+Imerica!D44+'Life Health America'!D44+'Lincoln Memorial'!D44+'Medical Savings'!D44+'Memorial Service'!D44+'National States'!D44+'Universal Health Care'!D44+'Universal Life'!D44</f>
        <v>375410.31376632029</v>
      </c>
      <c r="E44" s="3">
        <f>+'Booker T Washington'!E44+'Executive Life'!E44+ELNY!E44+Imerica!E44+'Life Health America'!E44+'Lincoln Memorial'!E44+'Medical Savings'!E44+'Memorial Service'!E44+'National States'!E44+'Universal Health Care'!E44+'Universal Life'!E44</f>
        <v>0</v>
      </c>
      <c r="F44" s="3">
        <f t="shared" si="1"/>
        <v>264631221.70915365</v>
      </c>
    </row>
    <row r="45" spans="1:6">
      <c r="A45" t="s">
        <v>39</v>
      </c>
      <c r="B45" s="3">
        <f>+'Booker T Washington'!B45+'Executive Life'!B45+ELNY!B45+Imerica!B45+'Life Health America'!B45+'Lincoln Memorial'!B45+'Medical Savings'!B45+'Memorial Service'!B45+'National States'!B45+'Universal Health Care'!B45+'Universal Life'!B45</f>
        <v>651572.94037578756</v>
      </c>
      <c r="C45" s="3">
        <f>+'Booker T Washington'!C45+'Executive Life'!C45+ELNY!C45+Imerica!C45+'Life Health America'!C45+'Lincoln Memorial'!C45+'Medical Savings'!C45+'Memorial Service'!C45+'National States'!C45+'Universal Health Care'!C45+'Universal Life'!C45</f>
        <v>566373.87712636322</v>
      </c>
      <c r="D45" s="3">
        <f>+'Booker T Washington'!D45+'Executive Life'!D45+ELNY!D45+Imerica!D45+'Life Health America'!D45+'Lincoln Memorial'!D45+'Medical Savings'!D45+'Memorial Service'!D45+'National States'!D45+'Universal Health Care'!D45+'Universal Life'!D45</f>
        <v>0</v>
      </c>
      <c r="E45" s="3">
        <f>+'Booker T Washington'!E45+'Executive Life'!E45+ELNY!E45+Imerica!E45+'Life Health America'!E45+'Lincoln Memorial'!E45+'Medical Savings'!E45+'Memorial Service'!E45+'National States'!E45+'Universal Health Care'!E45+'Universal Life'!E45</f>
        <v>0</v>
      </c>
      <c r="F45" s="3">
        <f t="shared" si="1"/>
        <v>1217946.8175021508</v>
      </c>
    </row>
    <row r="46" spans="1:6">
      <c r="A46" t="s">
        <v>40</v>
      </c>
      <c r="B46" s="3">
        <f>+'Booker T Washington'!B46+'Executive Life'!B46+ELNY!B46+Imerica!B46+'Life Health America'!B46+'Lincoln Memorial'!B46+'Medical Savings'!B46+'Memorial Service'!B46+'National States'!B46+'Universal Health Care'!B46+'Universal Life'!B46</f>
        <v>3191109.714579416</v>
      </c>
      <c r="C46" s="3">
        <f>+'Booker T Washington'!C46+'Executive Life'!C46+ELNY!C46+Imerica!C46+'Life Health America'!C46+'Lincoln Memorial'!C46+'Medical Savings'!C46+'Memorial Service'!C46+'National States'!C46+'Universal Health Care'!C46+'Universal Life'!C46</f>
        <v>26751291.455942098</v>
      </c>
      <c r="D46" s="3">
        <f>+'Booker T Washington'!D46+'Executive Life'!D46+ELNY!D46+Imerica!D46+'Life Health America'!D46+'Lincoln Memorial'!D46+'Medical Savings'!D46+'Memorial Service'!D46+'National States'!D46+'Universal Health Care'!D46+'Universal Life'!D46</f>
        <v>0</v>
      </c>
      <c r="E46" s="3">
        <f>+'Booker T Washington'!E46+'Executive Life'!E46+ELNY!E46+Imerica!E46+'Life Health America'!E46+'Lincoln Memorial'!E46+'Medical Savings'!E46+'Memorial Service'!E46+'National States'!E46+'Universal Health Care'!E46+'Universal Life'!E46</f>
        <v>0</v>
      </c>
      <c r="F46" s="3">
        <f t="shared" si="1"/>
        <v>29942401.170521513</v>
      </c>
    </row>
    <row r="47" spans="1:6">
      <c r="A47" t="s">
        <v>41</v>
      </c>
      <c r="B47" s="3">
        <f>+'Booker T Washington'!B47+'Executive Life'!B47+ELNY!B47+Imerica!B47+'Life Health America'!B47+'Lincoln Memorial'!B47+'Medical Savings'!B47+'Memorial Service'!B47+'National States'!B47+'Universal Health Care'!B47+'Universal Life'!B47</f>
        <v>17139337.725066535</v>
      </c>
      <c r="C47" s="3">
        <f>+'Booker T Washington'!C47+'Executive Life'!C47+ELNY!C47+Imerica!C47+'Life Health America'!C47+'Lincoln Memorial'!C47+'Medical Savings'!C47+'Memorial Service'!C47+'National States'!C47+'Universal Health Care'!C47+'Universal Life'!C47</f>
        <v>23101039.497645907</v>
      </c>
      <c r="D47" s="3">
        <f>+'Booker T Washington'!D47+'Executive Life'!D47+ELNY!D47+Imerica!D47+'Life Health America'!D47+'Lincoln Memorial'!D47+'Medical Savings'!D47+'Memorial Service'!D47+'National States'!D47+'Universal Health Care'!D47+'Universal Life'!D47</f>
        <v>4249917.6975691393</v>
      </c>
      <c r="E47" s="3">
        <f>+'Booker T Washington'!E47+'Executive Life'!E47+ELNY!E47+Imerica!E47+'Life Health America'!E47+'Lincoln Memorial'!E47+'Medical Savings'!E47+'Memorial Service'!E47+'National States'!E47+'Universal Health Care'!E47+'Universal Life'!E47</f>
        <v>0</v>
      </c>
      <c r="F47" s="3">
        <f t="shared" si="1"/>
        <v>44490294.920281582</v>
      </c>
    </row>
    <row r="48" spans="1:6">
      <c r="A48" t="s">
        <v>42</v>
      </c>
      <c r="B48" s="3">
        <f>+'Booker T Washington'!B48+'Executive Life'!B48+ELNY!B48+Imerica!B48+'Life Health America'!B48+'Lincoln Memorial'!B48+'Medical Savings'!B48+'Memorial Service'!B48+'National States'!B48+'Universal Health Care'!B48+'Universal Life'!B48</f>
        <v>6843518.7981080981</v>
      </c>
      <c r="C48" s="3">
        <f>+'Booker T Washington'!C48+'Executive Life'!C48+ELNY!C48+Imerica!C48+'Life Health America'!C48+'Lincoln Memorial'!C48+'Medical Savings'!C48+'Memorial Service'!C48+'National States'!C48+'Universal Health Care'!C48+'Universal Life'!C48</f>
        <v>3685368.4879372842</v>
      </c>
      <c r="D48" s="3">
        <f>+'Booker T Washington'!D48+'Executive Life'!D48+ELNY!D48+Imerica!D48+'Life Health America'!D48+'Lincoln Memorial'!D48+'Medical Savings'!D48+'Memorial Service'!D48+'National States'!D48+'Universal Health Care'!D48+'Universal Life'!D48</f>
        <v>2046636.5421920111</v>
      </c>
      <c r="E48" s="3">
        <f>+'Booker T Washington'!E48+'Executive Life'!E48+ELNY!E48+Imerica!E48+'Life Health America'!E48+'Lincoln Memorial'!E48+'Medical Savings'!E48+'Memorial Service'!E48+'National States'!E48+'Universal Health Care'!E48+'Universal Life'!E48</f>
        <v>0</v>
      </c>
      <c r="F48" s="3">
        <f t="shared" si="1"/>
        <v>12575523.828237392</v>
      </c>
    </row>
    <row r="49" spans="1:6">
      <c r="A49" t="s">
        <v>43</v>
      </c>
      <c r="B49" s="3">
        <f>+'Booker T Washington'!B49+'Executive Life'!B49+ELNY!B49+Imerica!B49+'Life Health America'!B49+'Lincoln Memorial'!B49+'Medical Savings'!B49+'Memorial Service'!B49+'National States'!B49+'Universal Health Care'!B49+'Universal Life'!B49</f>
        <v>30817343.573502284</v>
      </c>
      <c r="C49" s="3">
        <f>+'Booker T Washington'!C49+'Executive Life'!C49+ELNY!C49+Imerica!C49+'Life Health America'!C49+'Lincoln Memorial'!C49+'Medical Savings'!C49+'Memorial Service'!C49+'National States'!C49+'Universal Health Care'!C49+'Universal Life'!C49</f>
        <v>17594687.616241276</v>
      </c>
      <c r="D49" s="3">
        <f>+'Booker T Washington'!D49+'Executive Life'!D49+ELNY!D49+Imerica!D49+'Life Health America'!D49+'Lincoln Memorial'!D49+'Medical Savings'!D49+'Memorial Service'!D49+'National States'!D49+'Universal Health Care'!D49+'Universal Life'!D49</f>
        <v>2511083.4028340513</v>
      </c>
      <c r="E49" s="3">
        <f>+'Booker T Washington'!E49+'Executive Life'!E49+ELNY!E49+Imerica!E49+'Life Health America'!E49+'Lincoln Memorial'!E49+'Medical Savings'!E49+'Memorial Service'!E49+'National States'!E49+'Universal Health Care'!E49+'Universal Life'!E49</f>
        <v>0</v>
      </c>
      <c r="F49" s="3">
        <f t="shared" si="1"/>
        <v>50923114.592577614</v>
      </c>
    </row>
    <row r="50" spans="1:6">
      <c r="A50" t="s">
        <v>44</v>
      </c>
      <c r="B50" s="3">
        <f>+'Booker T Washington'!B50+'Executive Life'!B50+ELNY!B50+Imerica!B50+'Life Health America'!B50+'Lincoln Memorial'!B50+'Medical Savings'!B50+'Memorial Service'!B50+'National States'!B50+'Universal Health Care'!B50+'Universal Life'!B50</f>
        <v>220628660.39450771</v>
      </c>
      <c r="C50" s="3">
        <f>+'Booker T Washington'!C50+'Executive Life'!C50+ELNY!C50+Imerica!C50+'Life Health America'!C50+'Lincoln Memorial'!C50+'Medical Savings'!C50+'Memorial Service'!C50+'National States'!C50+'Universal Health Care'!C50+'Universal Life'!C50</f>
        <v>134700974.570737</v>
      </c>
      <c r="D50" s="3">
        <f>+'Booker T Washington'!D50+'Executive Life'!D50+ELNY!D50+Imerica!D50+'Life Health America'!D50+'Lincoln Memorial'!D50+'Medical Savings'!D50+'Memorial Service'!D50+'National States'!D50+'Universal Health Care'!D50+'Universal Life'!D50</f>
        <v>6435299.8218868906</v>
      </c>
      <c r="E50" s="3">
        <f>+'Booker T Washington'!E50+'Executive Life'!E50+ELNY!E50+Imerica!E50+'Life Health America'!E50+'Lincoln Memorial'!E50+'Medical Savings'!E50+'Memorial Service'!E50+'National States'!E50+'Universal Health Care'!E50+'Universal Life'!E50</f>
        <v>11605840.998572709</v>
      </c>
      <c r="F50" s="3">
        <f t="shared" si="1"/>
        <v>373370775.78570431</v>
      </c>
    </row>
    <row r="51" spans="1:6">
      <c r="A51" t="s">
        <v>45</v>
      </c>
      <c r="B51" s="3">
        <f>+'Booker T Washington'!B51+'Executive Life'!B51+ELNY!B51+Imerica!B51+'Life Health America'!B51+'Lincoln Memorial'!B51+'Medical Savings'!B51+'Memorial Service'!B51+'National States'!B51+'Universal Health Care'!B51+'Universal Life'!B51</f>
        <v>8655974.8992118407</v>
      </c>
      <c r="C51" s="3">
        <f>+'Booker T Washington'!C51+'Executive Life'!C51+ELNY!C51+Imerica!C51+'Life Health America'!C51+'Lincoln Memorial'!C51+'Medical Savings'!C51+'Memorial Service'!C51+'National States'!C51+'Universal Health Care'!C51+'Universal Life'!C51</f>
        <v>7652588.1100312248</v>
      </c>
      <c r="D51" s="3">
        <f>+'Booker T Washington'!D51+'Executive Life'!D51+ELNY!D51+Imerica!D51+'Life Health America'!D51+'Lincoln Memorial'!D51+'Medical Savings'!D51+'Memorial Service'!D51+'National States'!D51+'Universal Health Care'!D51+'Universal Life'!D51</f>
        <v>57992.891015575835</v>
      </c>
      <c r="E51" s="3">
        <f>+'Booker T Washington'!E51+'Executive Life'!E51+ELNY!E51+Imerica!E51+'Life Health America'!E51+'Lincoln Memorial'!E51+'Medical Savings'!E51+'Memorial Service'!E51+'National States'!E51+'Universal Health Care'!E51+'Universal Life'!E51</f>
        <v>241707.9962356273</v>
      </c>
      <c r="F51" s="3">
        <f t="shared" si="1"/>
        <v>16608263.896494269</v>
      </c>
    </row>
    <row r="52" spans="1:6">
      <c r="A52" t="s">
        <v>46</v>
      </c>
      <c r="B52" s="3">
        <f>+'Booker T Washington'!B52+'Executive Life'!B52+ELNY!B52+Imerica!B52+'Life Health America'!B52+'Lincoln Memorial'!B52+'Medical Savings'!B52+'Memorial Service'!B52+'National States'!B52+'Universal Health Care'!B52+'Universal Life'!B52</f>
        <v>1817.1717070649411</v>
      </c>
      <c r="C52" s="3">
        <f>+'Booker T Washington'!C52+'Executive Life'!C52+ELNY!C52+Imerica!C52+'Life Health America'!C52+'Lincoln Memorial'!C52+'Medical Savings'!C52+'Memorial Service'!C52+'National States'!C52+'Universal Health Care'!C52+'Universal Life'!C52</f>
        <v>970214.27906829352</v>
      </c>
      <c r="D52" s="3">
        <f>+'Booker T Washington'!D52+'Executive Life'!D52+ELNY!D52+Imerica!D52+'Life Health America'!D52+'Lincoln Memorial'!D52+'Medical Savings'!D52+'Memorial Service'!D52+'National States'!D52+'Universal Health Care'!D52+'Universal Life'!D52</f>
        <v>0</v>
      </c>
      <c r="E52" s="3">
        <f>+'Booker T Washington'!E52+'Executive Life'!E52+ELNY!E52+Imerica!E52+'Life Health America'!E52+'Lincoln Memorial'!E52+'Medical Savings'!E52+'Memorial Service'!E52+'National States'!E52+'Universal Health Care'!E52+'Universal Life'!E52</f>
        <v>0</v>
      </c>
      <c r="F52" s="3">
        <f t="shared" si="1"/>
        <v>972031.45077535848</v>
      </c>
    </row>
    <row r="53" spans="1:6">
      <c r="A53" t="s">
        <v>47</v>
      </c>
      <c r="B53" s="3">
        <f>+'Booker T Washington'!B53+'Executive Life'!B53+ELNY!B53+Imerica!B53+'Life Health America'!B53+'Lincoln Memorial'!B53+'Medical Savings'!B53+'Memorial Service'!B53+'National States'!B53+'Universal Health Care'!B53+'Universal Life'!B53</f>
        <v>10545450.304982219</v>
      </c>
      <c r="C53" s="3">
        <f>+'Booker T Washington'!C53+'Executive Life'!C53+ELNY!C53+Imerica!C53+'Life Health America'!C53+'Lincoln Memorial'!C53+'Medical Savings'!C53+'Memorial Service'!C53+'National States'!C53+'Universal Health Care'!C53+'Universal Life'!C53</f>
        <v>22634418.165518261</v>
      </c>
      <c r="D53" s="3">
        <f>+'Booker T Washington'!D53+'Executive Life'!D53+ELNY!D53+Imerica!D53+'Life Health America'!D53+'Lincoln Memorial'!D53+'Medical Savings'!D53+'Memorial Service'!D53+'National States'!D53+'Universal Health Care'!D53+'Universal Life'!D53</f>
        <v>3056647.3052910091</v>
      </c>
      <c r="E53" s="3">
        <f>+'Booker T Washington'!E53+'Executive Life'!E53+ELNY!E53+Imerica!E53+'Life Health America'!E53+'Lincoln Memorial'!E53+'Medical Savings'!E53+'Memorial Service'!E53+'National States'!E53+'Universal Health Care'!E53+'Universal Life'!E53</f>
        <v>0</v>
      </c>
      <c r="F53" s="3">
        <f t="shared" si="1"/>
        <v>36236515.775791489</v>
      </c>
    </row>
    <row r="54" spans="1:6">
      <c r="A54" t="s">
        <v>48</v>
      </c>
      <c r="B54" s="3">
        <f>+'Booker T Washington'!B54+'Executive Life'!B54+ELNY!B54+Imerica!B54+'Life Health America'!B54+'Lincoln Memorial'!B54+'Medical Savings'!B54+'Memorial Service'!B54+'National States'!B54+'Universal Health Care'!B54+'Universal Life'!B54</f>
        <v>33629153.170906901</v>
      </c>
      <c r="C54" s="3">
        <f>+'Booker T Washington'!C54+'Executive Life'!C54+ELNY!C54+Imerica!C54+'Life Health America'!C54+'Lincoln Memorial'!C54+'Medical Savings'!C54+'Memorial Service'!C54+'National States'!C54+'Universal Health Care'!C54+'Universal Life'!C54</f>
        <v>64417321.642395049</v>
      </c>
      <c r="D54" s="3">
        <f>+'Booker T Washington'!D54+'Executive Life'!D54+ELNY!D54+Imerica!D54+'Life Health America'!D54+'Lincoln Memorial'!D54+'Medical Savings'!D54+'Memorial Service'!D54+'National States'!D54+'Universal Health Care'!D54+'Universal Life'!D54</f>
        <v>1771190.5412059668</v>
      </c>
      <c r="E54" s="3">
        <f>+'Booker T Washington'!E54+'Executive Life'!E54+ELNY!E54+Imerica!E54+'Life Health America'!E54+'Lincoln Memorial'!E54+'Medical Savings'!E54+'Memorial Service'!E54+'National States'!E54+'Universal Health Care'!E54+'Universal Life'!E54</f>
        <v>2166597.2525246912</v>
      </c>
      <c r="F54" s="3">
        <f t="shared" si="1"/>
        <v>101984262.60703261</v>
      </c>
    </row>
    <row r="55" spans="1:6">
      <c r="A55" t="s">
        <v>49</v>
      </c>
      <c r="B55" s="3">
        <f>+'Booker T Washington'!B55+'Executive Life'!B55+ELNY!B55+Imerica!B55+'Life Health America'!B55+'Lincoln Memorial'!B55+'Medical Savings'!B55+'Memorial Service'!B55+'National States'!B55+'Universal Health Care'!B55+'Universal Life'!B55</f>
        <v>1809106.9976796045</v>
      </c>
      <c r="C55" s="3">
        <f>+'Booker T Washington'!C55+'Executive Life'!C55+ELNY!C55+Imerica!C55+'Life Health America'!C55+'Lincoln Memorial'!C55+'Medical Savings'!C55+'Memorial Service'!C55+'National States'!C55+'Universal Health Care'!C55+'Universal Life'!C55</f>
        <v>5656190.1760193929</v>
      </c>
      <c r="D55" s="3">
        <f>+'Booker T Washington'!D55+'Executive Life'!D55+ELNY!D55+Imerica!D55+'Life Health America'!D55+'Lincoln Memorial'!D55+'Medical Savings'!D55+'Memorial Service'!D55+'National States'!D55+'Universal Health Care'!D55+'Universal Life'!D55</f>
        <v>-11061.915604652313</v>
      </c>
      <c r="E55" s="3">
        <f>+'Booker T Washington'!E55+'Executive Life'!E55+ELNY!E55+Imerica!E55+'Life Health America'!E55+'Lincoln Memorial'!E55+'Medical Savings'!E55+'Memorial Service'!E55+'National States'!E55+'Universal Health Care'!E55+'Universal Life'!E55</f>
        <v>0</v>
      </c>
      <c r="F55" s="3">
        <f t="shared" si="1"/>
        <v>7454235.2580943452</v>
      </c>
    </row>
    <row r="56" spans="1:6">
      <c r="A56" t="s">
        <v>50</v>
      </c>
      <c r="B56" s="3">
        <f>+'Booker T Washington'!B56+'Executive Life'!B56+ELNY!B56+Imerica!B56+'Life Health America'!B56+'Lincoln Memorial'!B56+'Medical Savings'!B56+'Memorial Service'!B56+'National States'!B56+'Universal Health Care'!B56+'Universal Life'!B56</f>
        <v>15242550.212439556</v>
      </c>
      <c r="C56" s="3">
        <f>+'Booker T Washington'!C56+'Executive Life'!C56+ELNY!C56+Imerica!C56+'Life Health America'!C56+'Lincoln Memorial'!C56+'Medical Savings'!C56+'Memorial Service'!C56+'National States'!C56+'Universal Health Care'!C56+'Universal Life'!C56</f>
        <v>51224013.128132887</v>
      </c>
      <c r="D56" s="3">
        <f>+'Booker T Washington'!D56+'Executive Life'!D56+ELNY!D56+Imerica!D56+'Life Health America'!D56+'Lincoln Memorial'!D56+'Medical Savings'!D56+'Memorial Service'!D56+'National States'!D56+'Universal Health Care'!D56+'Universal Life'!D56</f>
        <v>3061193.655740812</v>
      </c>
      <c r="E56" s="3">
        <f>+'Booker T Washington'!E56+'Executive Life'!E56+ELNY!E56+Imerica!E56+'Life Health America'!E56+'Lincoln Memorial'!E56+'Medical Savings'!E56+'Memorial Service'!E56+'National States'!E56+'Universal Health Care'!E56+'Universal Life'!E56</f>
        <v>79687.440673158591</v>
      </c>
      <c r="F56" s="3">
        <f t="shared" si="1"/>
        <v>69607444.436986417</v>
      </c>
    </row>
    <row r="57" spans="1:6">
      <c r="A57" t="s">
        <v>51</v>
      </c>
      <c r="B57" s="3">
        <f>+'Booker T Washington'!B57+'Executive Life'!B57+ELNY!B57+Imerica!B57+'Life Health America'!B57+'Lincoln Memorial'!B57+'Medical Savings'!B57+'Memorial Service'!B57+'National States'!B57+'Universal Health Care'!B57+'Universal Life'!B57</f>
        <v>3075798.7306641233</v>
      </c>
      <c r="C57" s="3">
        <f>+'Booker T Washington'!C57+'Executive Life'!C57+ELNY!C57+Imerica!C57+'Life Health America'!C57+'Lincoln Memorial'!C57+'Medical Savings'!C57+'Memorial Service'!C57+'National States'!C57+'Universal Health Care'!C57+'Universal Life'!C57</f>
        <v>3965931.5059255739</v>
      </c>
      <c r="D57" s="3">
        <f>+'Booker T Washington'!D57+'Executive Life'!D57+ELNY!D57+Imerica!D57+'Life Health America'!D57+'Lincoln Memorial'!D57+'Medical Savings'!D57+'Memorial Service'!D57+'National States'!D57+'Universal Health Care'!D57+'Universal Life'!D57</f>
        <v>56</v>
      </c>
      <c r="E57" s="3">
        <f>+'Booker T Washington'!E57+'Executive Life'!E57+ELNY!E57+Imerica!E57+'Life Health America'!E57+'Lincoln Memorial'!E57+'Medical Savings'!E57+'Memorial Service'!E57+'National States'!E57+'Universal Health Care'!E57+'Universal Life'!E57</f>
        <v>0</v>
      </c>
      <c r="F57" s="3">
        <f t="shared" si="1"/>
        <v>7041786.2365896972</v>
      </c>
    </row>
    <row r="58" spans="1:6">
      <c r="A58" t="s">
        <v>52</v>
      </c>
      <c r="B58" s="3">
        <f>+'Booker T Washington'!B58+'Executive Life'!B58+ELNY!B58+Imerica!B58+'Life Health America'!B58+'Lincoln Memorial'!B58+'Medical Savings'!B58+'Memorial Service'!B58+'National States'!B58+'Universal Health Care'!B58+'Universal Life'!B58</f>
        <v>0</v>
      </c>
      <c r="C58" s="3">
        <f>+'Booker T Washington'!C58+'Executive Life'!C58+ELNY!C58+Imerica!C58+'Life Health America'!C58+'Lincoln Memorial'!C58+'Medical Savings'!C58+'Memorial Service'!C58+'National States'!C58+'Universal Health Care'!C58+'Universal Life'!C58</f>
        <v>0</v>
      </c>
      <c r="D58" s="3">
        <f>+'Booker T Washington'!D58+'Executive Life'!D58+ELNY!D58+Imerica!D58+'Life Health America'!D58+'Lincoln Memorial'!D58+'Medical Savings'!D58+'Memorial Service'!D58+'National States'!D58+'Universal Health Care'!D58+'Universal Life'!D58</f>
        <v>0</v>
      </c>
      <c r="E58" s="3">
        <f>+'Booker T Washington'!E58+'Executive Life'!E58+ELNY!E58+Imerica!E58+'Life Health America'!E58+'Lincoln Memorial'!E58+'Medical Savings'!E58+'Memorial Service'!E58+'National States'!E58+'Universal Health Care'!E58+'Universal Life'!E58</f>
        <v>0</v>
      </c>
      <c r="F58" s="3">
        <f t="shared" si="1"/>
        <v>0</v>
      </c>
    </row>
    <row r="59" spans="1:6">
      <c r="B59" s="3"/>
      <c r="C59" s="3"/>
      <c r="D59" s="3"/>
      <c r="E59" s="3"/>
      <c r="F59" s="3"/>
    </row>
    <row r="60" spans="1:6">
      <c r="A60" t="s">
        <v>59</v>
      </c>
      <c r="B60" s="3">
        <f t="shared" ref="B60:F60" si="2">SUM(B6:B58)</f>
        <v>1627137017.7793643</v>
      </c>
      <c r="C60" s="3">
        <f t="shared" si="2"/>
        <v>2492855413.6947613</v>
      </c>
      <c r="D60" s="3">
        <f t="shared" si="2"/>
        <v>215370853.97801489</v>
      </c>
      <c r="E60" s="3">
        <f t="shared" si="2"/>
        <v>31574088.732868716</v>
      </c>
      <c r="F60" s="3">
        <f t="shared" si="2"/>
        <v>4366937374.185009</v>
      </c>
    </row>
    <row r="62" spans="1:6">
      <c r="A62" s="139" t="s">
        <v>167</v>
      </c>
      <c r="B62" s="139"/>
      <c r="C62" s="139"/>
      <c r="D62" s="139"/>
      <c r="E62" s="139"/>
      <c r="F62" s="139"/>
    </row>
    <row r="63" spans="1:6">
      <c r="A63" t="s">
        <v>180</v>
      </c>
    </row>
    <row r="65" spans="1:6">
      <c r="A65" t="s">
        <v>59</v>
      </c>
      <c r="B65" s="3">
        <f>SUM(B60:B64)</f>
        <v>1627137017.7793643</v>
      </c>
      <c r="C65" s="3">
        <f>SUM(C60:C64)</f>
        <v>2492855413.6947613</v>
      </c>
      <c r="D65" s="3">
        <f>SUM(D60:D64)</f>
        <v>215370853.97801489</v>
      </c>
      <c r="E65" s="3">
        <f>SUM(E60:E64)</f>
        <v>31574088.732868716</v>
      </c>
      <c r="F65" s="3">
        <f>SUM(F60:F64)</f>
        <v>4366937374.185009</v>
      </c>
    </row>
    <row r="69" spans="1:6">
      <c r="A69" t="s">
        <v>181</v>
      </c>
      <c r="B69" s="3">
        <f>+Summary!H28</f>
        <v>1627137017.7793653</v>
      </c>
      <c r="C69" s="3">
        <f>+Summary!I28</f>
        <v>2492855413.6947608</v>
      </c>
      <c r="D69" s="3">
        <f>+Summary!J28</f>
        <v>215370853.97801477</v>
      </c>
      <c r="E69" s="3">
        <f>+Summary!K28</f>
        <v>31574088.732868716</v>
      </c>
      <c r="F69" s="3">
        <f>+Summary!L28</f>
        <v>4366937374.18501</v>
      </c>
    </row>
    <row r="70" spans="1:6">
      <c r="B70" s="3">
        <f>+B65-B69</f>
        <v>0</v>
      </c>
      <c r="C70" s="3">
        <f>+C65-C69</f>
        <v>0</v>
      </c>
      <c r="D70" s="3">
        <f>+D65-D69</f>
        <v>0</v>
      </c>
      <c r="E70" s="3">
        <f>+E65-E69</f>
        <v>0</v>
      </c>
      <c r="F70" s="3">
        <f>+F65-F69</f>
        <v>0</v>
      </c>
    </row>
  </sheetData>
  <mergeCells count="2">
    <mergeCell ref="A62:F62"/>
    <mergeCell ref="A1:F1"/>
  </mergeCells>
  <printOptions horizontalCentered="1" verticalCentered="1"/>
  <pageMargins left="0.25" right="0.25" top="0.75" bottom="0.75" header="0.4" footer="0.4"/>
  <pageSetup scale="51" orientation="landscape" r:id="rId1"/>
  <headerFooter>
    <oddHeader>&amp;L&amp;"Geneva,Bold"&amp;D 
&amp;F &amp;C&amp;"Geneva,Bold Italic"Open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75" zoomScaleNormal="75" workbookViewId="0">
      <selection activeCell="C43" sqref="C43"/>
    </sheetView>
  </sheetViews>
  <sheetFormatPr defaultRowHeight="15"/>
  <cols>
    <col min="1" max="1" width="23.7109375" bestFit="1" customWidth="1"/>
    <col min="2" max="2" width="12.140625" bestFit="1" customWidth="1"/>
    <col min="3" max="3" width="13.28515625" bestFit="1" customWidth="1"/>
    <col min="4" max="4" width="12.140625" bestFit="1" customWidth="1"/>
    <col min="5" max="5" width="12" bestFit="1" customWidth="1"/>
    <col min="6" max="6" width="13.28515625" bestFit="1" customWidth="1"/>
    <col min="7" max="7" width="2.7109375" customWidth="1"/>
    <col min="8" max="8" width="41.28515625" bestFit="1" customWidth="1"/>
    <col min="9" max="9" width="13.28515625" bestFit="1" customWidth="1"/>
  </cols>
  <sheetData>
    <row r="1" spans="1:9">
      <c r="A1" s="156" t="s">
        <v>267</v>
      </c>
      <c r="B1" s="157"/>
      <c r="C1" s="157"/>
      <c r="D1" s="157"/>
      <c r="E1" s="157"/>
      <c r="F1" s="157"/>
    </row>
    <row r="3" spans="1:9">
      <c r="B3" s="51"/>
      <c r="C3" s="51" t="s">
        <v>184</v>
      </c>
      <c r="D3" s="51"/>
      <c r="E3" s="51" t="s">
        <v>185</v>
      </c>
      <c r="F3" s="51"/>
    </row>
    <row r="4" spans="1:9">
      <c r="B4" s="51" t="s">
        <v>55</v>
      </c>
      <c r="C4" s="51" t="s">
        <v>186</v>
      </c>
      <c r="D4" s="51" t="s">
        <v>57</v>
      </c>
      <c r="E4" s="51" t="s">
        <v>186</v>
      </c>
      <c r="F4" s="51" t="s">
        <v>59</v>
      </c>
    </row>
    <row r="6" spans="1:9">
      <c r="A6" t="s">
        <v>0</v>
      </c>
      <c r="B6" s="3">
        <f>+'Andrew Jackson'!B6+Benicorp!B6+Centennial!B6+'Family Guaranty'!B6+'Farmers &amp; Ranchers'!B6+'First Natl (Thrnr)'!B6+'Franklin American'!B6+'Franklin Protective'!B6+'Golden State'!B6+'International Fin'!B6+'Investors Equity'!B6+Legion!B6+Lumbermens!B6+'National Heritage'!B6+Reliance!B6+'Standard Life IN'!B6+Villanova!B6</f>
        <v>1263958.6206919982</v>
      </c>
      <c r="C6" s="3">
        <f>+'Andrew Jackson'!C6+Benicorp!C6+Centennial!C6+'Family Guaranty'!C6+'Farmers &amp; Ranchers'!C6+'First Natl (Thrnr)'!C6+'Franklin American'!C6+'Franklin Protective'!C6+'Golden State'!C6+'International Fin'!C6+'Investors Equity'!C6+Legion!C6+Lumbermens!C6+'National Heritage'!C6+Reliance!C6+'Standard Life IN'!C6+Villanova!C6</f>
        <v>1571948.5681665703</v>
      </c>
      <c r="D6" s="3">
        <f>+'Andrew Jackson'!D6+Benicorp!D6+Centennial!D6+'Family Guaranty'!D6+'Farmers &amp; Ranchers'!D6+'First Natl (Thrnr)'!D6+'Franklin American'!D6+'Franklin Protective'!D6+'Golden State'!D6+'International Fin'!D6+'Investors Equity'!D6+Legion!D6+Lumbermens!D6+'National Heritage'!D6+Reliance!D6+'Standard Life IN'!D6+Villanova!D6</f>
        <v>500916.47320202546</v>
      </c>
      <c r="E6" s="3">
        <f>+'Andrew Jackson'!E6+Benicorp!E6+Centennial!E6+'Family Guaranty'!E6+'Farmers &amp; Ranchers'!E6+'First Natl (Thrnr)'!E6+'Franklin American'!E6+'Franklin Protective'!E6+'Golden State'!E6+'International Fin'!E6+'Investors Equity'!E6+Legion!E6+Lumbermens!E6+'National Heritage'!E6+Reliance!E6+'Standard Life IN'!E6+Villanova!E6</f>
        <v>0</v>
      </c>
      <c r="F6" s="3">
        <f t="shared" ref="F6:F37" si="0">SUM(B6:E6)</f>
        <v>3336823.6620605942</v>
      </c>
      <c r="H6" t="s">
        <v>222</v>
      </c>
      <c r="I6" s="3">
        <f>+Summary!L32</f>
        <v>30797402.404227968</v>
      </c>
    </row>
    <row r="7" spans="1:9">
      <c r="A7" t="s">
        <v>1</v>
      </c>
      <c r="B7" s="3">
        <f>+'Andrew Jackson'!B7+Benicorp!B7+Centennial!B7+'Family Guaranty'!B7+'Farmers &amp; Ranchers'!B7+'First Natl (Thrnr)'!B7+'Franklin American'!B7+'Franklin Protective'!B7+'Golden State'!B7+'International Fin'!B7+'Investors Equity'!B7+Legion!B7+Lumbermens!B7+'National Heritage'!B7+Reliance!B7+'Standard Life IN'!B7+Villanova!B7</f>
        <v>602</v>
      </c>
      <c r="C7" s="3">
        <f>+'Andrew Jackson'!C7+Benicorp!C7+Centennial!C7+'Family Guaranty'!C7+'Farmers &amp; Ranchers'!C7+'First Natl (Thrnr)'!C7+'Franklin American'!C7+'Franklin Protective'!C7+'Golden State'!C7+'International Fin'!C7+'Investors Equity'!C7+Legion!C7+Lumbermens!C7+'National Heritage'!C7+Reliance!C7+'Standard Life IN'!C7+Villanova!C7</f>
        <v>97.126520412582664</v>
      </c>
      <c r="D7" s="3">
        <f>+'Andrew Jackson'!D7+Benicorp!D7+Centennial!D7+'Family Guaranty'!D7+'Farmers &amp; Ranchers'!D7+'First Natl (Thrnr)'!D7+'Franklin American'!D7+'Franklin Protective'!D7+'Golden State'!D7+'International Fin'!D7+'Investors Equity'!D7+Legion!D7+Lumbermens!D7+'National Heritage'!D7+Reliance!D7+'Standard Life IN'!D7+Villanova!D7</f>
        <v>-5186.9429899583483</v>
      </c>
      <c r="E7" s="3">
        <f>+'Andrew Jackson'!E7+Benicorp!E7+Centennial!E7+'Family Guaranty'!E7+'Farmers &amp; Ranchers'!E7+'First Natl (Thrnr)'!E7+'Franklin American'!E7+'Franklin Protective'!E7+'Golden State'!E7+'International Fin'!E7+'Investors Equity'!E7+Legion!E7+Lumbermens!E7+'National Heritage'!E7+Reliance!E7+'Standard Life IN'!E7+Villanova!E7</f>
        <v>0</v>
      </c>
      <c r="F7" s="3">
        <f t="shared" si="0"/>
        <v>-4487.8164695457654</v>
      </c>
      <c r="H7" t="s">
        <v>225</v>
      </c>
      <c r="I7" s="3">
        <f>+Summary!L33</f>
        <v>29130896.854569081</v>
      </c>
    </row>
    <row r="8" spans="1:9">
      <c r="A8" t="s">
        <v>2</v>
      </c>
      <c r="B8" s="3">
        <f>+'Andrew Jackson'!B8+Benicorp!B8+Centennial!B8+'Family Guaranty'!B8+'Farmers &amp; Ranchers'!B8+'First Natl (Thrnr)'!B8+'Franklin American'!B8+'Franklin Protective'!B8+'Golden State'!B8+'International Fin'!B8+'Investors Equity'!B8+Legion!B8+Lumbermens!B8+'National Heritage'!B8+Reliance!B8+'Standard Life IN'!B8+Villanova!B8</f>
        <v>280278.68162739224</v>
      </c>
      <c r="C8" s="3">
        <f>+'Andrew Jackson'!C8+Benicorp!C8+Centennial!C8+'Family Guaranty'!C8+'Farmers &amp; Ranchers'!C8+'First Natl (Thrnr)'!C8+'Franklin American'!C8+'Franklin Protective'!C8+'Golden State'!C8+'International Fin'!C8+'Investors Equity'!C8+Legion!C8+Lumbermens!C8+'National Heritage'!C8+Reliance!C8+'Standard Life IN'!C8+Villanova!C8</f>
        <v>1639511.4783052439</v>
      </c>
      <c r="D8" s="3">
        <f>+'Andrew Jackson'!D8+Benicorp!D8+Centennial!D8+'Family Guaranty'!D8+'Farmers &amp; Ranchers'!D8+'First Natl (Thrnr)'!D8+'Franklin American'!D8+'Franklin Protective'!D8+'Golden State'!D8+'International Fin'!D8+'Investors Equity'!D8+Legion!D8+Lumbermens!D8+'National Heritage'!D8+Reliance!D8+'Standard Life IN'!D8+Villanova!D8</f>
        <v>1001005.0681826043</v>
      </c>
      <c r="E8" s="3">
        <f>+'Andrew Jackson'!E8+Benicorp!E8+Centennial!E8+'Family Guaranty'!E8+'Farmers &amp; Ranchers'!E8+'First Natl (Thrnr)'!E8+'Franklin American'!E8+'Franklin Protective'!E8+'Golden State'!E8+'International Fin'!E8+'Investors Equity'!E8+Legion!E8+Lumbermens!E8+'National Heritage'!E8+Reliance!E8+'Standard Life IN'!E8+Villanova!E8</f>
        <v>0</v>
      </c>
      <c r="F8" s="3">
        <f t="shared" si="0"/>
        <v>2920795.2281152406</v>
      </c>
      <c r="H8" t="s">
        <v>227</v>
      </c>
      <c r="I8" s="3">
        <f>+Summary!L34</f>
        <v>83536.967558226796</v>
      </c>
    </row>
    <row r="9" spans="1:9">
      <c r="A9" t="s">
        <v>3</v>
      </c>
      <c r="B9" s="3">
        <f>+'Andrew Jackson'!B9+Benicorp!B9+Centennial!B9+'Family Guaranty'!B9+'Farmers &amp; Ranchers'!B9+'First Natl (Thrnr)'!B9+'Franklin American'!B9+'Franklin Protective'!B9+'Golden State'!B9+'International Fin'!B9+'Investors Equity'!B9+Legion!B9+Lumbermens!B9+'National Heritage'!B9+Reliance!B9+'Standard Life IN'!B9+Villanova!B9</f>
        <v>510610.95730726427</v>
      </c>
      <c r="C9" s="3">
        <f>+'Andrew Jackson'!C9+Benicorp!C9+Centennial!C9+'Family Guaranty'!C9+'Farmers &amp; Ranchers'!C9+'First Natl (Thrnr)'!C9+'Franklin American'!C9+'Franklin Protective'!C9+'Golden State'!C9+'International Fin'!C9+'Investors Equity'!C9+Legion!C9+Lumbermens!C9+'National Heritage'!C9+Reliance!C9+'Standard Life IN'!C9+Villanova!C9</f>
        <v>578793.98773582035</v>
      </c>
      <c r="D9" s="3">
        <f>+'Andrew Jackson'!D9+Benicorp!D9+Centennial!D9+'Family Guaranty'!D9+'Farmers &amp; Ranchers'!D9+'First Natl (Thrnr)'!D9+'Franklin American'!D9+'Franklin Protective'!D9+'Golden State'!D9+'International Fin'!D9+'Investors Equity'!D9+Legion!D9+Lumbermens!D9+'National Heritage'!D9+Reliance!D9+'Standard Life IN'!D9+Villanova!D9</f>
        <v>2252616.963979939</v>
      </c>
      <c r="E9" s="3">
        <f>+'Andrew Jackson'!E9+Benicorp!E9+Centennial!E9+'Family Guaranty'!E9+'Farmers &amp; Ranchers'!E9+'First Natl (Thrnr)'!E9+'Franklin American'!E9+'Franklin Protective'!E9+'Golden State'!E9+'International Fin'!E9+'Investors Equity'!E9+Legion!E9+Lumbermens!E9+'National Heritage'!E9+Reliance!E9+'Standard Life IN'!E9+Villanova!E9</f>
        <v>0</v>
      </c>
      <c r="F9" s="3">
        <f t="shared" si="0"/>
        <v>3342021.9090230237</v>
      </c>
      <c r="H9" t="s">
        <v>230</v>
      </c>
      <c r="I9" s="3">
        <f>+Summary!L35</f>
        <v>24943759.224309217</v>
      </c>
    </row>
    <row r="10" spans="1:9">
      <c r="A10" t="s">
        <v>4</v>
      </c>
      <c r="B10" s="3">
        <f>+'Andrew Jackson'!B10+Benicorp!B10+Centennial!B10+'Family Guaranty'!B10+'Farmers &amp; Ranchers'!B10+'First Natl (Thrnr)'!B10+'Franklin American'!B10+'Franklin Protective'!B10+'Golden State'!B10+'International Fin'!B10+'Investors Equity'!B10+Legion!B10+Lumbermens!B10+'National Heritage'!B10+Reliance!B10+'Standard Life IN'!B10+Villanova!B10</f>
        <v>1014114.2433856432</v>
      </c>
      <c r="C10" s="3">
        <f>+'Andrew Jackson'!C10+Benicorp!C10+Centennial!C10+'Family Guaranty'!C10+'Farmers &amp; Ranchers'!C10+'First Natl (Thrnr)'!C10+'Franklin American'!C10+'Franklin Protective'!C10+'Golden State'!C10+'International Fin'!C10+'Investors Equity'!C10+Legion!C10+Lumbermens!C10+'National Heritage'!C10+Reliance!C10+'Standard Life IN'!C10+Villanova!C10</f>
        <v>2388919.9483637298</v>
      </c>
      <c r="D10" s="3">
        <f>+'Andrew Jackson'!D10+Benicorp!D10+Centennial!D10+'Family Guaranty'!D10+'Farmers &amp; Ranchers'!D10+'First Natl (Thrnr)'!D10+'Franklin American'!D10+'Franklin Protective'!D10+'Golden State'!D10+'International Fin'!D10+'Investors Equity'!D10+Legion!D10+Lumbermens!D10+'National Heritage'!D10+Reliance!D10+'Standard Life IN'!D10+Villanova!D10</f>
        <v>3645737.3009285736</v>
      </c>
      <c r="E10" s="3">
        <f>+'Andrew Jackson'!E10+Benicorp!E10+Centennial!E10+'Family Guaranty'!E10+'Farmers &amp; Ranchers'!E10+'First Natl (Thrnr)'!E10+'Franklin American'!E10+'Franklin Protective'!E10+'Golden State'!E10+'International Fin'!E10+'Investors Equity'!E10+Legion!E10+Lumbermens!E10+'National Heritage'!E10+Reliance!E10+'Standard Life IN'!E10+Villanova!E10</f>
        <v>0</v>
      </c>
      <c r="F10" s="3">
        <f t="shared" si="0"/>
        <v>7048771.4926779466</v>
      </c>
      <c r="H10" t="s">
        <v>232</v>
      </c>
      <c r="I10" s="3">
        <f>+Summary!L36</f>
        <v>9175892.8553194087</v>
      </c>
    </row>
    <row r="11" spans="1:9">
      <c r="A11" t="s">
        <v>5</v>
      </c>
      <c r="B11" s="3">
        <f>+'Andrew Jackson'!B11+Benicorp!B11+Centennial!B11+'Family Guaranty'!B11+'Farmers &amp; Ranchers'!B11+'First Natl (Thrnr)'!B11+'Franklin American'!B11+'Franklin Protective'!B11+'Golden State'!B11+'International Fin'!B11+'Investors Equity'!B11+Legion!B11+Lumbermens!B11+'National Heritage'!B11+Reliance!B11+'Standard Life IN'!B11+Villanova!B11</f>
        <v>72173.56551884595</v>
      </c>
      <c r="C11" s="3">
        <f>+'Andrew Jackson'!C11+Benicorp!C11+Centennial!C11+'Family Guaranty'!C11+'Farmers &amp; Ranchers'!C11+'First Natl (Thrnr)'!C11+'Franklin American'!C11+'Franklin Protective'!C11+'Golden State'!C11+'International Fin'!C11+'Investors Equity'!C11+Legion!C11+Lumbermens!C11+'National Heritage'!C11+Reliance!C11+'Standard Life IN'!C11+Villanova!C11</f>
        <v>1747328.3074458716</v>
      </c>
      <c r="D11" s="3">
        <f>+'Andrew Jackson'!D11+Benicorp!D11+Centennial!D11+'Family Guaranty'!D11+'Farmers &amp; Ranchers'!D11+'First Natl (Thrnr)'!D11+'Franklin American'!D11+'Franklin Protective'!D11+'Golden State'!D11+'International Fin'!D11+'Investors Equity'!D11+Legion!D11+Lumbermens!D11+'National Heritage'!D11+Reliance!D11+'Standard Life IN'!D11+Villanova!D11</f>
        <v>340772.14931599406</v>
      </c>
      <c r="E11" s="3">
        <f>+'Andrew Jackson'!E11+Benicorp!E11+Centennial!E11+'Family Guaranty'!E11+'Farmers &amp; Ranchers'!E11+'First Natl (Thrnr)'!E11+'Franklin American'!E11+'Franklin Protective'!E11+'Golden State'!E11+'International Fin'!E11+'Investors Equity'!E11+Legion!E11+Lumbermens!E11+'National Heritage'!E11+Reliance!E11+'Standard Life IN'!E11+Villanova!E11</f>
        <v>0</v>
      </c>
      <c r="F11" s="3">
        <f t="shared" si="0"/>
        <v>2160274.0222807117</v>
      </c>
      <c r="H11" t="s">
        <v>235</v>
      </c>
      <c r="I11" s="3">
        <f>+Summary!L37</f>
        <v>25085350.972757164</v>
      </c>
    </row>
    <row r="12" spans="1:9">
      <c r="A12" t="s">
        <v>6</v>
      </c>
      <c r="B12" s="3">
        <f>+'Andrew Jackson'!B12+Benicorp!B12+Centennial!B12+'Family Guaranty'!B12+'Farmers &amp; Ranchers'!B12+'First Natl (Thrnr)'!B12+'Franklin American'!B12+'Franklin Protective'!B12+'Golden State'!B12+'International Fin'!B12+'Investors Equity'!B12+Legion!B12+Lumbermens!B12+'National Heritage'!B12+Reliance!B12+'Standard Life IN'!B12+Villanova!B12</f>
        <v>1386.5358512130831</v>
      </c>
      <c r="C12" s="3">
        <f>+'Andrew Jackson'!C12+Benicorp!C12+Centennial!C12+'Family Guaranty'!C12+'Farmers &amp; Ranchers'!C12+'First Natl (Thrnr)'!C12+'Franklin American'!C12+'Franklin Protective'!C12+'Golden State'!C12+'International Fin'!C12+'Investors Equity'!C12+Legion!C12+Lumbermens!C12+'National Heritage'!C12+Reliance!C12+'Standard Life IN'!C12+Villanova!C12</f>
        <v>56787.27800561906</v>
      </c>
      <c r="D12" s="3">
        <f>+'Andrew Jackson'!D12+Benicorp!D12+Centennial!D12+'Family Guaranty'!D12+'Farmers &amp; Ranchers'!D12+'First Natl (Thrnr)'!D12+'Franklin American'!D12+'Franklin Protective'!D12+'Golden State'!D12+'International Fin'!D12+'Investors Equity'!D12+Legion!D12+Lumbermens!D12+'National Heritage'!D12+Reliance!D12+'Standard Life IN'!D12+Villanova!D12</f>
        <v>308787.88846614689</v>
      </c>
      <c r="E12" s="3">
        <f>+'Andrew Jackson'!E12+Benicorp!E12+Centennial!E12+'Family Guaranty'!E12+'Farmers &amp; Ranchers'!E12+'First Natl (Thrnr)'!E12+'Franklin American'!E12+'Franklin Protective'!E12+'Golden State'!E12+'International Fin'!E12+'Investors Equity'!E12+Legion!E12+Lumbermens!E12+'National Heritage'!E12+Reliance!E12+'Standard Life IN'!E12+Villanova!E12</f>
        <v>0</v>
      </c>
      <c r="F12" s="3">
        <f t="shared" si="0"/>
        <v>366961.70232297905</v>
      </c>
      <c r="H12" t="s">
        <v>237</v>
      </c>
      <c r="I12" s="3">
        <f>+Summary!L38</f>
        <v>359494.58923288225</v>
      </c>
    </row>
    <row r="13" spans="1:9">
      <c r="A13" t="s">
        <v>7</v>
      </c>
      <c r="B13" s="3">
        <f>+'Andrew Jackson'!B13+Benicorp!B13+Centennial!B13+'Family Guaranty'!B13+'Farmers &amp; Ranchers'!B13+'First Natl (Thrnr)'!B13+'Franklin American'!B13+'Franklin Protective'!B13+'Golden State'!B13+'International Fin'!B13+'Investors Equity'!B13+Legion!B13+Lumbermens!B13+'National Heritage'!B13+Reliance!B13+'Standard Life IN'!B13+Villanova!B13</f>
        <v>335191.67069396673</v>
      </c>
      <c r="C13" s="3">
        <f>+'Andrew Jackson'!C13+Benicorp!C13+Centennial!C13+'Family Guaranty'!C13+'Farmers &amp; Ranchers'!C13+'First Natl (Thrnr)'!C13+'Franklin American'!C13+'Franklin Protective'!C13+'Golden State'!C13+'International Fin'!C13+'Investors Equity'!C13+Legion!C13+Lumbermens!C13+'National Heritage'!C13+Reliance!C13+'Standard Life IN'!C13+Villanova!C13</f>
        <v>8204030.7725066226</v>
      </c>
      <c r="D13" s="3">
        <f>+'Andrew Jackson'!D13+Benicorp!D13+Centennial!D13+'Family Guaranty'!D13+'Farmers &amp; Ranchers'!D13+'First Natl (Thrnr)'!D13+'Franklin American'!D13+'Franklin Protective'!D13+'Golden State'!D13+'International Fin'!D13+'Investors Equity'!D13+Legion!D13+Lumbermens!D13+'National Heritage'!D13+Reliance!D13+'Standard Life IN'!D13+Villanova!D13</f>
        <v>-5650.7911276117084</v>
      </c>
      <c r="E13" s="3">
        <f>+'Andrew Jackson'!E13+Benicorp!E13+Centennial!E13+'Family Guaranty'!E13+'Farmers &amp; Ranchers'!E13+'First Natl (Thrnr)'!E13+'Franklin American'!E13+'Franklin Protective'!E13+'Golden State'!E13+'International Fin'!E13+'Investors Equity'!E13+Legion!E13+Lumbermens!E13+'National Heritage'!E13+Reliance!E13+'Standard Life IN'!E13+Villanova!E13</f>
        <v>0</v>
      </c>
      <c r="F13" s="3">
        <f t="shared" si="0"/>
        <v>8533571.6520729791</v>
      </c>
      <c r="H13" t="s">
        <v>240</v>
      </c>
      <c r="I13" s="3">
        <f>+Summary!L39</f>
        <v>16592146.715839058</v>
      </c>
    </row>
    <row r="14" spans="1:9">
      <c r="A14" t="s">
        <v>8</v>
      </c>
      <c r="B14" s="3">
        <f>+'Andrew Jackson'!B14+Benicorp!B14+Centennial!B14+'Family Guaranty'!B14+'Farmers &amp; Ranchers'!B14+'First Natl (Thrnr)'!B14+'Franklin American'!B14+'Franklin Protective'!B14+'Golden State'!B14+'International Fin'!B14+'Investors Equity'!B14+Legion!B14+Lumbermens!B14+'National Heritage'!B14+Reliance!B14+'Standard Life IN'!B14+Villanova!B14</f>
        <v>24332.194515574542</v>
      </c>
      <c r="C14" s="3">
        <f>+'Andrew Jackson'!C14+Benicorp!C14+Centennial!C14+'Family Guaranty'!C14+'Farmers &amp; Ranchers'!C14+'First Natl (Thrnr)'!C14+'Franklin American'!C14+'Franklin Protective'!C14+'Golden State'!C14+'International Fin'!C14+'Investors Equity'!C14+Legion!C14+Lumbermens!C14+'National Heritage'!C14+Reliance!C14+'Standard Life IN'!C14+Villanova!C14</f>
        <v>195453.80747622231</v>
      </c>
      <c r="D14" s="3">
        <f>+'Andrew Jackson'!D14+Benicorp!D14+Centennial!D14+'Family Guaranty'!D14+'Farmers &amp; Ranchers'!D14+'First Natl (Thrnr)'!D14+'Franklin American'!D14+'Franklin Protective'!D14+'Golden State'!D14+'International Fin'!D14+'Investors Equity'!D14+Legion!D14+Lumbermens!D14+'National Heritage'!D14+Reliance!D14+'Standard Life IN'!D14+Villanova!D14</f>
        <v>7563.2525837906942</v>
      </c>
      <c r="E14" s="3">
        <f>+'Andrew Jackson'!E14+Benicorp!E14+Centennial!E14+'Family Guaranty'!E14+'Farmers &amp; Ranchers'!E14+'First Natl (Thrnr)'!E14+'Franklin American'!E14+'Franklin Protective'!E14+'Golden State'!E14+'International Fin'!E14+'Investors Equity'!E14+Legion!E14+Lumbermens!E14+'National Heritage'!E14+Reliance!E14+'Standard Life IN'!E14+Villanova!E14</f>
        <v>0</v>
      </c>
      <c r="F14" s="3">
        <f t="shared" si="0"/>
        <v>227349.25457558755</v>
      </c>
      <c r="H14" t="s">
        <v>242</v>
      </c>
      <c r="I14" s="3">
        <f>+Summary!L40</f>
        <v>1542099.1950000001</v>
      </c>
    </row>
    <row r="15" spans="1:9">
      <c r="A15" t="s">
        <v>9</v>
      </c>
      <c r="B15" s="3">
        <f>+'Andrew Jackson'!B15+Benicorp!B15+Centennial!B15+'Family Guaranty'!B15+'Farmers &amp; Ranchers'!B15+'First Natl (Thrnr)'!B15+'Franklin American'!B15+'Franklin Protective'!B15+'Golden State'!B15+'International Fin'!B15+'Investors Equity'!B15+Legion!B15+Lumbermens!B15+'National Heritage'!B15+Reliance!B15+'Standard Life IN'!B15+Villanova!B15</f>
        <v>2924538.4665690246</v>
      </c>
      <c r="C15" s="3">
        <f>+'Andrew Jackson'!C15+Benicorp!C15+Centennial!C15+'Family Guaranty'!C15+'Farmers &amp; Ranchers'!C15+'First Natl (Thrnr)'!C15+'Franklin American'!C15+'Franklin Protective'!C15+'Golden State'!C15+'International Fin'!C15+'Investors Equity'!C15+Legion!C15+Lumbermens!C15+'National Heritage'!C15+Reliance!C15+'Standard Life IN'!C15+Villanova!C15</f>
        <v>54289747.868701726</v>
      </c>
      <c r="D15" s="3">
        <f>+'Andrew Jackson'!D15+Benicorp!D15+Centennial!D15+'Family Guaranty'!D15+'Farmers &amp; Ranchers'!D15+'First Natl (Thrnr)'!D15+'Franklin American'!D15+'Franklin Protective'!D15+'Golden State'!D15+'International Fin'!D15+'Investors Equity'!D15+Legion!D15+Lumbermens!D15+'National Heritage'!D15+Reliance!D15+'Standard Life IN'!D15+Villanova!D15</f>
        <v>4615739.2077891268</v>
      </c>
      <c r="E15" s="3">
        <f>+'Andrew Jackson'!E15+Benicorp!E15+Centennial!E15+'Family Guaranty'!E15+'Farmers &amp; Ranchers'!E15+'First Natl (Thrnr)'!E15+'Franklin American'!E15+'Franklin Protective'!E15+'Golden State'!E15+'International Fin'!E15+'Investors Equity'!E15+Legion!E15+Lumbermens!E15+'National Heritage'!E15+Reliance!E15+'Standard Life IN'!E15+Villanova!E15</f>
        <v>0</v>
      </c>
      <c r="F15" s="3">
        <f t="shared" si="0"/>
        <v>61830025.543059871</v>
      </c>
      <c r="H15" t="s">
        <v>244</v>
      </c>
      <c r="I15" s="3">
        <f>+Summary!L41</f>
        <v>1850364.7179298264</v>
      </c>
    </row>
    <row r="16" spans="1:9">
      <c r="A16" t="s">
        <v>10</v>
      </c>
      <c r="B16" s="3">
        <f>+'Andrew Jackson'!B16+Benicorp!B16+Centennial!B16+'Family Guaranty'!B16+'Farmers &amp; Ranchers'!B16+'First Natl (Thrnr)'!B16+'Franklin American'!B16+'Franklin Protective'!B16+'Golden State'!B16+'International Fin'!B16+'Investors Equity'!B16+Legion!B16+Lumbermens!B16+'National Heritage'!B16+Reliance!B16+'Standard Life IN'!B16+Villanova!B16</f>
        <v>546032.26786520518</v>
      </c>
      <c r="C16" s="3">
        <f>+'Andrew Jackson'!C16+Benicorp!C16+Centennial!C16+'Family Guaranty'!C16+'Farmers &amp; Ranchers'!C16+'First Natl (Thrnr)'!C16+'Franklin American'!C16+'Franklin Protective'!C16+'Golden State'!C16+'International Fin'!C16+'Investors Equity'!C16+Legion!C16+Lumbermens!C16+'National Heritage'!C16+Reliance!C16+'Standard Life IN'!C16+Villanova!C16</f>
        <v>2152298.9424414085</v>
      </c>
      <c r="D16" s="3">
        <f>+'Andrew Jackson'!D16+Benicorp!D16+Centennial!D16+'Family Guaranty'!D16+'Farmers &amp; Ranchers'!D16+'First Natl (Thrnr)'!D16+'Franklin American'!D16+'Franklin Protective'!D16+'Golden State'!D16+'International Fin'!D16+'Investors Equity'!D16+Legion!D16+Lumbermens!D16+'National Heritage'!D16+Reliance!D16+'Standard Life IN'!D16+Villanova!D16</f>
        <v>3651465.5137844905</v>
      </c>
      <c r="E16" s="3">
        <f>+'Andrew Jackson'!E16+Benicorp!E16+Centennial!E16+'Family Guaranty'!E16+'Farmers &amp; Ranchers'!E16+'First Natl (Thrnr)'!E16+'Franklin American'!E16+'Franklin Protective'!E16+'Golden State'!E16+'International Fin'!E16+'Investors Equity'!E16+Legion!E16+Lumbermens!E16+'National Heritage'!E16+Reliance!E16+'Standard Life IN'!E16+Villanova!E16</f>
        <v>0</v>
      </c>
      <c r="F16" s="3">
        <f t="shared" si="0"/>
        <v>6349796.7240911042</v>
      </c>
      <c r="H16" t="s">
        <v>246</v>
      </c>
      <c r="I16" s="3">
        <f>+Summary!L42</f>
        <v>19626887.870000001</v>
      </c>
    </row>
    <row r="17" spans="1:9">
      <c r="A17" t="s">
        <v>11</v>
      </c>
      <c r="B17" s="3">
        <f>+'Andrew Jackson'!B17+Benicorp!B17+Centennial!B17+'Family Guaranty'!B17+'Farmers &amp; Ranchers'!B17+'First Natl (Thrnr)'!B17+'Franklin American'!B17+'Franklin Protective'!B17+'Golden State'!B17+'International Fin'!B17+'Investors Equity'!B17+Legion!B17+Lumbermens!B17+'National Heritage'!B17+Reliance!B17+'Standard Life IN'!B17+Villanova!B17</f>
        <v>24938.534741736083</v>
      </c>
      <c r="C17" s="3">
        <f>+'Andrew Jackson'!C17+Benicorp!C17+Centennial!C17+'Family Guaranty'!C17+'Farmers &amp; Ranchers'!C17+'First Natl (Thrnr)'!C17+'Franklin American'!C17+'Franklin Protective'!C17+'Golden State'!C17+'International Fin'!C17+'Investors Equity'!C17+Legion!C17+Lumbermens!C17+'National Heritage'!C17+Reliance!C17+'Standard Life IN'!C17+Villanova!C17</f>
        <v>19912301.286877938</v>
      </c>
      <c r="D17" s="3">
        <f>+'Andrew Jackson'!D17+Benicorp!D17+Centennial!D17+'Family Guaranty'!D17+'Farmers &amp; Ranchers'!D17+'First Natl (Thrnr)'!D17+'Franklin American'!D17+'Franklin Protective'!D17+'Golden State'!D17+'International Fin'!D17+'Investors Equity'!D17+Legion!D17+Lumbermens!D17+'National Heritage'!D17+Reliance!D17+'Standard Life IN'!D17+Villanova!D17</f>
        <v>248156.96106753565</v>
      </c>
      <c r="E17" s="3">
        <f>+'Andrew Jackson'!E17+Benicorp!E17+Centennial!E17+'Family Guaranty'!E17+'Farmers &amp; Ranchers'!E17+'First Natl (Thrnr)'!E17+'Franklin American'!E17+'Franklin Protective'!E17+'Golden State'!E17+'International Fin'!E17+'Investors Equity'!E17+Legion!E17+Lumbermens!E17+'National Heritage'!E17+Reliance!E17+'Standard Life IN'!E17+Villanova!E17</f>
        <v>0</v>
      </c>
      <c r="F17" s="3">
        <f t="shared" si="0"/>
        <v>20185396.78268721</v>
      </c>
      <c r="H17" t="s">
        <v>249</v>
      </c>
      <c r="I17" s="3">
        <f>+Summary!L43</f>
        <v>892802.29160067695</v>
      </c>
    </row>
    <row r="18" spans="1:9">
      <c r="A18" t="s">
        <v>12</v>
      </c>
      <c r="B18" s="3">
        <f>+'Andrew Jackson'!B18+Benicorp!B18+Centennial!B18+'Family Guaranty'!B18+'Farmers &amp; Ranchers'!B18+'First Natl (Thrnr)'!B18+'Franklin American'!B18+'Franklin Protective'!B18+'Golden State'!B18+'International Fin'!B18+'Investors Equity'!B18+Legion!B18+Lumbermens!B18+'National Heritage'!B18+Reliance!B18+'Standard Life IN'!B18+Villanova!B18</f>
        <v>5356.9867782415768</v>
      </c>
      <c r="C18" s="3">
        <f>+'Andrew Jackson'!C18+Benicorp!C18+Centennial!C18+'Family Guaranty'!C18+'Farmers &amp; Ranchers'!C18+'First Natl (Thrnr)'!C18+'Franklin American'!C18+'Franklin Protective'!C18+'Golden State'!C18+'International Fin'!C18+'Investors Equity'!C18+Legion!C18+Lumbermens!C18+'National Heritage'!C18+Reliance!C18+'Standard Life IN'!C18+Villanova!C18</f>
        <v>9266.6979395470116</v>
      </c>
      <c r="D18" s="3">
        <f>+'Andrew Jackson'!D18+Benicorp!D18+Centennial!D18+'Family Guaranty'!D18+'Farmers &amp; Ranchers'!D18+'First Natl (Thrnr)'!D18+'Franklin American'!D18+'Franklin Protective'!D18+'Golden State'!D18+'International Fin'!D18+'Investors Equity'!D18+Legion!D18+Lumbermens!D18+'National Heritage'!D18+Reliance!D18+'Standard Life IN'!D18+Villanova!D18</f>
        <v>-66726.039632890301</v>
      </c>
      <c r="E18" s="3">
        <f>+'Andrew Jackson'!E18+Benicorp!E18+Centennial!E18+'Family Guaranty'!E18+'Farmers &amp; Ranchers'!E18+'First Natl (Thrnr)'!E18+'Franklin American'!E18+'Franklin Protective'!E18+'Golden State'!E18+'International Fin'!E18+'Investors Equity'!E18+Legion!E18+Lumbermens!E18+'National Heritage'!E18+Reliance!E18+'Standard Life IN'!E18+Villanova!E18</f>
        <v>0</v>
      </c>
      <c r="F18" s="3">
        <f t="shared" si="0"/>
        <v>-52102.354915101714</v>
      </c>
      <c r="H18" t="s">
        <v>251</v>
      </c>
      <c r="I18" s="3">
        <f>+Summary!L44</f>
        <v>15542479.536605306</v>
      </c>
    </row>
    <row r="19" spans="1:9">
      <c r="A19" t="s">
        <v>13</v>
      </c>
      <c r="B19" s="3">
        <f>+'Andrew Jackson'!B19+Benicorp!B19+Centennial!B19+'Family Guaranty'!B19+'Farmers &amp; Ranchers'!B19+'First Natl (Thrnr)'!B19+'Franklin American'!B19+'Franklin Protective'!B19+'Golden State'!B19+'International Fin'!B19+'Investors Equity'!B19+Legion!B19+Lumbermens!B19+'National Heritage'!B19+Reliance!B19+'Standard Life IN'!B19+Villanova!B19</f>
        <v>224146.59296860953</v>
      </c>
      <c r="C19" s="3">
        <f>+'Andrew Jackson'!C19+Benicorp!C19+Centennial!C19+'Family Guaranty'!C19+'Farmers &amp; Ranchers'!C19+'First Natl (Thrnr)'!C19+'Franklin American'!C19+'Franklin Protective'!C19+'Golden State'!C19+'International Fin'!C19+'Investors Equity'!C19+Legion!C19+Lumbermens!C19+'National Heritage'!C19+Reliance!C19+'Standard Life IN'!C19+Villanova!C19</f>
        <v>936746.51137484668</v>
      </c>
      <c r="D19" s="3">
        <f>+'Andrew Jackson'!D19+Benicorp!D19+Centennial!D19+'Family Guaranty'!D19+'Farmers &amp; Ranchers'!D19+'First Natl (Thrnr)'!D19+'Franklin American'!D19+'Franklin Protective'!D19+'Golden State'!D19+'International Fin'!D19+'Investors Equity'!D19+Legion!D19+Lumbermens!D19+'National Heritage'!D19+Reliance!D19+'Standard Life IN'!D19+Villanova!D19</f>
        <v>741341.3156459746</v>
      </c>
      <c r="E19" s="3">
        <f>+'Andrew Jackson'!E19+Benicorp!E19+Centennial!E19+'Family Guaranty'!E19+'Farmers &amp; Ranchers'!E19+'First Natl (Thrnr)'!E19+'Franklin American'!E19+'Franklin Protective'!E19+'Golden State'!E19+'International Fin'!E19+'Investors Equity'!E19+Legion!E19+Lumbermens!E19+'National Heritage'!E19+Reliance!E19+'Standard Life IN'!E19+Villanova!E19</f>
        <v>0</v>
      </c>
      <c r="F19" s="3">
        <f t="shared" si="0"/>
        <v>1902234.4199894308</v>
      </c>
      <c r="H19" t="s">
        <v>254</v>
      </c>
      <c r="I19" s="3">
        <f>+Summary!L45</f>
        <v>152712494.82334155</v>
      </c>
    </row>
    <row r="20" spans="1:9">
      <c r="A20" t="s">
        <v>14</v>
      </c>
      <c r="B20" s="3">
        <f>+'Andrew Jackson'!B20+Benicorp!B20+Centennial!B20+'Family Guaranty'!B20+'Farmers &amp; Ranchers'!B20+'First Natl (Thrnr)'!B20+'Franklin American'!B20+'Franklin Protective'!B20+'Golden State'!B20+'International Fin'!B20+'Investors Equity'!B20+Legion!B20+Lumbermens!B20+'National Heritage'!B20+Reliance!B20+'Standard Life IN'!B20+Villanova!B20</f>
        <v>247558.10308927175</v>
      </c>
      <c r="C20" s="3">
        <f>+'Andrew Jackson'!C20+Benicorp!C20+Centennial!C20+'Family Guaranty'!C20+'Farmers &amp; Ranchers'!C20+'First Natl (Thrnr)'!C20+'Franklin American'!C20+'Franklin Protective'!C20+'Golden State'!C20+'International Fin'!C20+'Investors Equity'!C20+Legion!C20+Lumbermens!C20+'National Heritage'!C20+Reliance!C20+'Standard Life IN'!C20+Villanova!C20</f>
        <v>7472829.1200379208</v>
      </c>
      <c r="D20" s="3">
        <f>+'Andrew Jackson'!D20+Benicorp!D20+Centennial!D20+'Family Guaranty'!D20+'Farmers &amp; Ranchers'!D20+'First Natl (Thrnr)'!D20+'Franklin American'!D20+'Franklin Protective'!D20+'Golden State'!D20+'International Fin'!D20+'Investors Equity'!D20+Legion!D20+Lumbermens!D20+'National Heritage'!D20+Reliance!D20+'Standard Life IN'!D20+Villanova!D20</f>
        <v>11154255.981855102</v>
      </c>
      <c r="E20" s="3">
        <f>+'Andrew Jackson'!E20+Benicorp!E20+Centennial!E20+'Family Guaranty'!E20+'Farmers &amp; Ranchers'!E20+'First Natl (Thrnr)'!E20+'Franklin American'!E20+'Franklin Protective'!E20+'Golden State'!E20+'International Fin'!E20+'Investors Equity'!E20+Legion!E20+Lumbermens!E20+'National Heritage'!E20+Reliance!E20+'Standard Life IN'!E20+Villanova!E20</f>
        <v>0</v>
      </c>
      <c r="F20" s="3">
        <f t="shared" si="0"/>
        <v>18874643.204982296</v>
      </c>
      <c r="H20" t="s">
        <v>257</v>
      </c>
      <c r="I20" s="3">
        <f>+Summary!L46</f>
        <v>0</v>
      </c>
    </row>
    <row r="21" spans="1:9">
      <c r="A21" t="s">
        <v>15</v>
      </c>
      <c r="B21" s="3">
        <f>+'Andrew Jackson'!B21+Benicorp!B21+Centennial!B21+'Family Guaranty'!B21+'Farmers &amp; Ranchers'!B21+'First Natl (Thrnr)'!B21+'Franklin American'!B21+'Franklin Protective'!B21+'Golden State'!B21+'International Fin'!B21+'Investors Equity'!B21+Legion!B21+Lumbermens!B21+'National Heritage'!B21+Reliance!B21+'Standard Life IN'!B21+Villanova!B21</f>
        <v>602668.48496656353</v>
      </c>
      <c r="C21" s="3">
        <f>+'Andrew Jackson'!C21+Benicorp!C21+Centennial!C21+'Family Guaranty'!C21+'Farmers &amp; Ranchers'!C21+'First Natl (Thrnr)'!C21+'Franklin American'!C21+'Franklin Protective'!C21+'Golden State'!C21+'International Fin'!C21+'Investors Equity'!C21+Legion!C21+Lumbermens!C21+'National Heritage'!C21+Reliance!C21+'Standard Life IN'!C21+Villanova!C21</f>
        <v>5494276.8912237408</v>
      </c>
      <c r="D21" s="3">
        <f>+'Andrew Jackson'!D21+Benicorp!D21+Centennial!D21+'Family Guaranty'!D21+'Farmers &amp; Ranchers'!D21+'First Natl (Thrnr)'!D21+'Franklin American'!D21+'Franklin Protective'!D21+'Golden State'!D21+'International Fin'!D21+'Investors Equity'!D21+Legion!D21+Lumbermens!D21+'National Heritage'!D21+Reliance!D21+'Standard Life IN'!D21+Villanova!D21</f>
        <v>166726.53905016152</v>
      </c>
      <c r="E21" s="3">
        <f>+'Andrew Jackson'!E21+Benicorp!E21+Centennial!E21+'Family Guaranty'!E21+'Farmers &amp; Ranchers'!E21+'First Natl (Thrnr)'!E21+'Franklin American'!E21+'Franklin Protective'!E21+'Golden State'!E21+'International Fin'!E21+'Investors Equity'!E21+Legion!E21+Lumbermens!E21+'National Heritage'!E21+Reliance!E21+'Standard Life IN'!E21+Villanova!E21</f>
        <v>0</v>
      </c>
      <c r="F21" s="3">
        <f t="shared" si="0"/>
        <v>6263671.9152404666</v>
      </c>
      <c r="H21" t="s">
        <v>260</v>
      </c>
      <c r="I21" s="3">
        <f>+Summary!L47</f>
        <v>13901518.814999999</v>
      </c>
    </row>
    <row r="22" spans="1:9">
      <c r="A22" t="s">
        <v>16</v>
      </c>
      <c r="B22" s="3">
        <f>+'Andrew Jackson'!B22+Benicorp!B22+Centennial!B22+'Family Guaranty'!B22+'Farmers &amp; Ranchers'!B22+'First Natl (Thrnr)'!B22+'Franklin American'!B22+'Franklin Protective'!B22+'Golden State'!B22+'International Fin'!B22+'Investors Equity'!B22+Legion!B22+Lumbermens!B22+'National Heritage'!B22+Reliance!B22+'Standard Life IN'!B22+Villanova!B22</f>
        <v>84499.970161895908</v>
      </c>
      <c r="C22" s="3">
        <f>+'Andrew Jackson'!C22+Benicorp!C22+Centennial!C22+'Family Guaranty'!C22+'Farmers &amp; Ranchers'!C22+'First Natl (Thrnr)'!C22+'Franklin American'!C22+'Franklin Protective'!C22+'Golden State'!C22+'International Fin'!C22+'Investors Equity'!C22+Legion!C22+Lumbermens!C22+'National Heritage'!C22+Reliance!C22+'Standard Life IN'!C22+Villanova!C22</f>
        <v>1315335.154500993</v>
      </c>
      <c r="D22" s="3">
        <f>+'Andrew Jackson'!D22+Benicorp!D22+Centennial!D22+'Family Guaranty'!D22+'Farmers &amp; Ranchers'!D22+'First Natl (Thrnr)'!D22+'Franklin American'!D22+'Franklin Protective'!D22+'Golden State'!D22+'International Fin'!D22+'Investors Equity'!D22+Legion!D22+Lumbermens!D22+'National Heritage'!D22+Reliance!D22+'Standard Life IN'!D22+Villanova!D22</f>
        <v>1448755.6885768457</v>
      </c>
      <c r="E22" s="3">
        <f>+'Andrew Jackson'!E22+Benicorp!E22+Centennial!E22+'Family Guaranty'!E22+'Farmers &amp; Ranchers'!E22+'First Natl (Thrnr)'!E22+'Franklin American'!E22+'Franklin Protective'!E22+'Golden State'!E22+'International Fin'!E22+'Investors Equity'!E22+Legion!E22+Lumbermens!E22+'National Heritage'!E22+Reliance!E22+'Standard Life IN'!E22+Villanova!E22</f>
        <v>0</v>
      </c>
      <c r="F22" s="3">
        <f t="shared" si="0"/>
        <v>2848590.8132397346</v>
      </c>
      <c r="H22" t="s">
        <v>262</v>
      </c>
      <c r="I22" s="3">
        <f>+Summary!L48</f>
        <v>2896866.560000001</v>
      </c>
    </row>
    <row r="23" spans="1:9">
      <c r="A23" t="s">
        <v>17</v>
      </c>
      <c r="B23" s="3">
        <f>+'Andrew Jackson'!B23+Benicorp!B23+Centennial!B23+'Family Guaranty'!B23+'Farmers &amp; Ranchers'!B23+'First Natl (Thrnr)'!B23+'Franklin American'!B23+'Franklin Protective'!B23+'Golden State'!B23+'International Fin'!B23+'Investors Equity'!B23+Legion!B23+Lumbermens!B23+'National Heritage'!B23+Reliance!B23+'Standard Life IN'!B23+Villanova!B23</f>
        <v>56831.069823667633</v>
      </c>
      <c r="C23" s="3">
        <f>+'Andrew Jackson'!C23+Benicorp!C23+Centennial!C23+'Family Guaranty'!C23+'Farmers &amp; Ranchers'!C23+'First Natl (Thrnr)'!C23+'Franklin American'!C23+'Franklin Protective'!C23+'Golden State'!C23+'International Fin'!C23+'Investors Equity'!C23+Legion!C23+Lumbermens!C23+'National Heritage'!C23+Reliance!C23+'Standard Life IN'!C23+Villanova!C23</f>
        <v>176957.03758743129</v>
      </c>
      <c r="D23" s="3">
        <f>+'Andrew Jackson'!D23+Benicorp!D23+Centennial!D23+'Family Guaranty'!D23+'Farmers &amp; Ranchers'!D23+'First Natl (Thrnr)'!D23+'Franklin American'!D23+'Franklin Protective'!D23+'Golden State'!D23+'International Fin'!D23+'Investors Equity'!D23+Legion!D23+Lumbermens!D23+'National Heritage'!D23+Reliance!D23+'Standard Life IN'!D23+Villanova!D23</f>
        <v>376701.74369849457</v>
      </c>
      <c r="E23" s="3">
        <f>+'Andrew Jackson'!E23+Benicorp!E23+Centennial!E23+'Family Guaranty'!E23+'Farmers &amp; Ranchers'!E23+'First Natl (Thrnr)'!E23+'Franklin American'!E23+'Franklin Protective'!E23+'Golden State'!E23+'International Fin'!E23+'Investors Equity'!E23+Legion!E23+Lumbermens!E23+'National Heritage'!E23+Reliance!E23+'Standard Life IN'!E23+Villanova!E23</f>
        <v>0</v>
      </c>
      <c r="F23" s="3">
        <f t="shared" si="0"/>
        <v>610489.85110959352</v>
      </c>
      <c r="H23" t="s">
        <v>264</v>
      </c>
      <c r="I23" s="3">
        <f>+Summary!L49</f>
        <v>25234.447472091433</v>
      </c>
    </row>
    <row r="24" spans="1:9">
      <c r="A24" t="s">
        <v>18</v>
      </c>
      <c r="B24" s="3">
        <f>+'Andrew Jackson'!B24+Benicorp!B24+Centennial!B24+'Family Guaranty'!B24+'Farmers &amp; Ranchers'!B24+'First Natl (Thrnr)'!B24+'Franklin American'!B24+'Franklin Protective'!B24+'Golden State'!B24+'International Fin'!B24+'Investors Equity'!B24+Legion!B24+Lumbermens!B24+'National Heritage'!B24+Reliance!B24+'Standard Life IN'!B24+Villanova!B24</f>
        <v>3894865.2680877484</v>
      </c>
      <c r="C24" s="3">
        <f>+'Andrew Jackson'!C24+Benicorp!C24+Centennial!C24+'Family Guaranty'!C24+'Farmers &amp; Ranchers'!C24+'First Natl (Thrnr)'!C24+'Franklin American'!C24+'Franklin Protective'!C24+'Golden State'!C24+'International Fin'!C24+'Investors Equity'!C24+Legion!C24+Lumbermens!C24+'National Heritage'!C24+Reliance!C24+'Standard Life IN'!C24+Villanova!C24</f>
        <v>4416235.8804440936</v>
      </c>
      <c r="D24" s="3">
        <f>+'Andrew Jackson'!D24+Benicorp!D24+Centennial!D24+'Family Guaranty'!D24+'Farmers &amp; Ranchers'!D24+'First Natl (Thrnr)'!D24+'Franklin American'!D24+'Franklin Protective'!D24+'Golden State'!D24+'International Fin'!D24+'Investors Equity'!D24+Legion!D24+Lumbermens!D24+'National Heritage'!D24+Reliance!D24+'Standard Life IN'!D24+Villanova!D24</f>
        <v>387992.09602972551</v>
      </c>
      <c r="E24" s="3">
        <f>+'Andrew Jackson'!E24+Benicorp!E24+Centennial!E24+'Family Guaranty'!E24+'Farmers &amp; Ranchers'!E24+'First Natl (Thrnr)'!E24+'Franklin American'!E24+'Franklin Protective'!E24+'Golden State'!E24+'International Fin'!E24+'Investors Equity'!E24+Legion!E24+Lumbermens!E24+'National Heritage'!E24+Reliance!E24+'Standard Life IN'!E24+Villanova!E24</f>
        <v>0</v>
      </c>
      <c r="F24" s="3">
        <f t="shared" si="0"/>
        <v>8699093.2445615679</v>
      </c>
      <c r="I24" s="3"/>
    </row>
    <row r="25" spans="1:9">
      <c r="A25" t="s">
        <v>19</v>
      </c>
      <c r="B25" s="3">
        <f>+'Andrew Jackson'!B25+Benicorp!B25+Centennial!B25+'Family Guaranty'!B25+'Farmers &amp; Ranchers'!B25+'First Natl (Thrnr)'!B25+'Franklin American'!B25+'Franklin Protective'!B25+'Golden State'!B25+'International Fin'!B25+'Investors Equity'!B25+Legion!B25+Lumbermens!B25+'National Heritage'!B25+Reliance!B25+'Standard Life IN'!B25+Villanova!B25</f>
        <v>0</v>
      </c>
      <c r="C25" s="3">
        <f>+'Andrew Jackson'!C25+Benicorp!C25+Centennial!C25+'Family Guaranty'!C25+'Farmers &amp; Ranchers'!C25+'First Natl (Thrnr)'!C25+'Franklin American'!C25+'Franklin Protective'!C25+'Golden State'!C25+'International Fin'!C25+'Investors Equity'!C25+Legion!C25+Lumbermens!C25+'National Heritage'!C25+Reliance!C25+'Standard Life IN'!C25+Villanova!C25</f>
        <v>5352.9729703677003</v>
      </c>
      <c r="D25" s="3">
        <f>+'Andrew Jackson'!D25+Benicorp!D25+Centennial!D25+'Family Guaranty'!D25+'Farmers &amp; Ranchers'!D25+'First Natl (Thrnr)'!D25+'Franklin American'!D25+'Franklin Protective'!D25+'Golden State'!D25+'International Fin'!D25+'Investors Equity'!D25+Legion!D25+Lumbermens!D25+'National Heritage'!D25+Reliance!D25+'Standard Life IN'!D25+Villanova!D25</f>
        <v>-6495.1285891045709</v>
      </c>
      <c r="E25" s="3">
        <f>+'Andrew Jackson'!E25+Benicorp!E25+Centennial!E25+'Family Guaranty'!E25+'Farmers &amp; Ranchers'!E25+'First Natl (Thrnr)'!E25+'Franklin American'!E25+'Franklin Protective'!E25+'Golden State'!E25+'International Fin'!E25+'Investors Equity'!E25+Legion!E25+Lumbermens!E25+'National Heritage'!E25+Reliance!E25+'Standard Life IN'!E25+Villanova!E25</f>
        <v>0</v>
      </c>
      <c r="F25" s="3">
        <f t="shared" si="0"/>
        <v>-1142.1556187368706</v>
      </c>
      <c r="H25" t="s">
        <v>59</v>
      </c>
      <c r="I25" s="3">
        <f>SUM(I6:I24)</f>
        <v>345159228.8407625</v>
      </c>
    </row>
    <row r="26" spans="1:9">
      <c r="A26" t="s">
        <v>20</v>
      </c>
      <c r="B26" s="3">
        <f>+'Andrew Jackson'!B26+Benicorp!B26+Centennial!B26+'Family Guaranty'!B26+'Farmers &amp; Ranchers'!B26+'First Natl (Thrnr)'!B26+'Franklin American'!B26+'Franklin Protective'!B26+'Golden State'!B26+'International Fin'!B26+'Investors Equity'!B26+Legion!B26+Lumbermens!B26+'National Heritage'!B26+Reliance!B26+'Standard Life IN'!B26+Villanova!B26</f>
        <v>99883.792898251209</v>
      </c>
      <c r="C26" s="3">
        <f>+'Andrew Jackson'!C26+Benicorp!C26+Centennial!C26+'Family Guaranty'!C26+'Farmers &amp; Ranchers'!C26+'First Natl (Thrnr)'!C26+'Franklin American'!C26+'Franklin Protective'!C26+'Golden State'!C26+'International Fin'!C26+'Investors Equity'!C26+Legion!C26+Lumbermens!C26+'National Heritage'!C26+Reliance!C26+'Standard Life IN'!C26+Villanova!C26</f>
        <v>625985.01215774985</v>
      </c>
      <c r="D26" s="3">
        <f>+'Andrew Jackson'!D26+Benicorp!D26+Centennial!D26+'Family Guaranty'!D26+'Farmers &amp; Ranchers'!D26+'First Natl (Thrnr)'!D26+'Franklin American'!D26+'Franklin Protective'!D26+'Golden State'!D26+'International Fin'!D26+'Investors Equity'!D26+Legion!D26+Lumbermens!D26+'National Heritage'!D26+Reliance!D26+'Standard Life IN'!D26+Villanova!D26</f>
        <v>951429.68192927749</v>
      </c>
      <c r="E26" s="3">
        <f>+'Andrew Jackson'!E26+Benicorp!E26+Centennial!E26+'Family Guaranty'!E26+'Farmers &amp; Ranchers'!E26+'First Natl (Thrnr)'!E26+'Franklin American'!E26+'Franklin Protective'!E26+'Golden State'!E26+'International Fin'!E26+'Investors Equity'!E26+Legion!E26+Lumbermens!E26+'National Heritage'!E26+Reliance!E26+'Standard Life IN'!E26+Villanova!E26</f>
        <v>0</v>
      </c>
      <c r="F26" s="3">
        <f t="shared" si="0"/>
        <v>1677298.4869852785</v>
      </c>
      <c r="H26" t="s">
        <v>182</v>
      </c>
      <c r="I26" s="3">
        <f>+F65</f>
        <v>345159228.84076256</v>
      </c>
    </row>
    <row r="27" spans="1:9">
      <c r="A27" t="s">
        <v>21</v>
      </c>
      <c r="B27" s="3">
        <f>+'Andrew Jackson'!B27+Benicorp!B27+Centennial!B27+'Family Guaranty'!B27+'Farmers &amp; Ranchers'!B27+'First Natl (Thrnr)'!B27+'Franklin American'!B27+'Franklin Protective'!B27+'Golden State'!B27+'International Fin'!B27+'Investors Equity'!B27+Legion!B27+Lumbermens!B27+'National Heritage'!B27+Reliance!B27+'Standard Life IN'!B27+Villanova!B27</f>
        <v>0</v>
      </c>
      <c r="C27" s="3">
        <f>+'Andrew Jackson'!C27+Benicorp!C27+Centennial!C27+'Family Guaranty'!C27+'Farmers &amp; Ranchers'!C27+'First Natl (Thrnr)'!C27+'Franklin American'!C27+'Franklin Protective'!C27+'Golden State'!C27+'International Fin'!C27+'Investors Equity'!C27+Legion!C27+Lumbermens!C27+'National Heritage'!C27+Reliance!C27+'Standard Life IN'!C27+Villanova!C27</f>
        <v>28995.770908325449</v>
      </c>
      <c r="D27" s="3">
        <f>+'Andrew Jackson'!D27+Benicorp!D27+Centennial!D27+'Family Guaranty'!D27+'Farmers &amp; Ranchers'!D27+'First Natl (Thrnr)'!D27+'Franklin American'!D27+'Franklin Protective'!D27+'Golden State'!D27+'International Fin'!D27+'Investors Equity'!D27+Legion!D27+Lumbermens!D27+'National Heritage'!D27+Reliance!D27+'Standard Life IN'!D27+Villanova!D27</f>
        <v>313591.41974293167</v>
      </c>
      <c r="E27" s="3">
        <f>+'Andrew Jackson'!E27+Benicorp!E27+Centennial!E27+'Family Guaranty'!E27+'Farmers &amp; Ranchers'!E27+'First Natl (Thrnr)'!E27+'Franklin American'!E27+'Franklin Protective'!E27+'Golden State'!E27+'International Fin'!E27+'Investors Equity'!E27+Legion!E27+Lumbermens!E27+'National Heritage'!E27+Reliance!E27+'Standard Life IN'!E27+Villanova!E27</f>
        <v>0</v>
      </c>
      <c r="F27" s="3">
        <f t="shared" si="0"/>
        <v>342587.19065125711</v>
      </c>
      <c r="I27" s="3">
        <f>+I25-I26</f>
        <v>0</v>
      </c>
    </row>
    <row r="28" spans="1:9">
      <c r="A28" t="s">
        <v>22</v>
      </c>
      <c r="B28" s="3">
        <f>+'Andrew Jackson'!B28+Benicorp!B28+Centennial!B28+'Family Guaranty'!B28+'Farmers &amp; Ranchers'!B28+'First Natl (Thrnr)'!B28+'Franklin American'!B28+'Franklin Protective'!B28+'Golden State'!B28+'International Fin'!B28+'Investors Equity'!B28+Legion!B28+Lumbermens!B28+'National Heritage'!B28+Reliance!B28+'Standard Life IN'!B28+Villanova!B28</f>
        <v>1067290.984433295</v>
      </c>
      <c r="C28" s="3">
        <f>+'Andrew Jackson'!C28+Benicorp!C28+Centennial!C28+'Family Guaranty'!C28+'Farmers &amp; Ranchers'!C28+'First Natl (Thrnr)'!C28+'Franklin American'!C28+'Franklin Protective'!C28+'Golden State'!C28+'International Fin'!C28+'Investors Equity'!C28+Legion!C28+Lumbermens!C28+'National Heritage'!C28+Reliance!C28+'Standard Life IN'!C28+Villanova!C28</f>
        <v>27563593.133237664</v>
      </c>
      <c r="D28" s="3">
        <f>+'Andrew Jackson'!D28+Benicorp!D28+Centennial!D28+'Family Guaranty'!D28+'Farmers &amp; Ranchers'!D28+'First Natl (Thrnr)'!D28+'Franklin American'!D28+'Franklin Protective'!D28+'Golden State'!D28+'International Fin'!D28+'Investors Equity'!D28+Legion!D28+Lumbermens!D28+'National Heritage'!D28+Reliance!D28+'Standard Life IN'!D28+Villanova!D28</f>
        <v>1301137.199429509</v>
      </c>
      <c r="E28" s="3">
        <f>+'Andrew Jackson'!E28+Benicorp!E28+Centennial!E28+'Family Guaranty'!E28+'Farmers &amp; Ranchers'!E28+'First Natl (Thrnr)'!E28+'Franklin American'!E28+'Franklin Protective'!E28+'Golden State'!E28+'International Fin'!E28+'Investors Equity'!E28+Legion!E28+Lumbermens!E28+'National Heritage'!E28+Reliance!E28+'Standard Life IN'!E28+Villanova!E28</f>
        <v>0</v>
      </c>
      <c r="F28" s="3">
        <f t="shared" si="0"/>
        <v>29932021.317100465</v>
      </c>
    </row>
    <row r="29" spans="1:9">
      <c r="A29" t="s">
        <v>23</v>
      </c>
      <c r="B29" s="3">
        <f>+'Andrew Jackson'!B29+Benicorp!B29+Centennial!B29+'Family Guaranty'!B29+'Farmers &amp; Ranchers'!B29+'First Natl (Thrnr)'!B29+'Franklin American'!B29+'Franklin Protective'!B29+'Golden State'!B29+'International Fin'!B29+'Investors Equity'!B29+Legion!B29+Lumbermens!B29+'National Heritage'!B29+Reliance!B29+'Standard Life IN'!B29+Villanova!B29</f>
        <v>1751.6634074827334</v>
      </c>
      <c r="C29" s="3">
        <f>+'Andrew Jackson'!C29+Benicorp!C29+Centennial!C29+'Family Guaranty'!C29+'Farmers &amp; Ranchers'!C29+'First Natl (Thrnr)'!C29+'Franklin American'!C29+'Franklin Protective'!C29+'Golden State'!C29+'International Fin'!C29+'Investors Equity'!C29+Legion!C29+Lumbermens!C29+'National Heritage'!C29+Reliance!C29+'Standard Life IN'!C29+Villanova!C29</f>
        <v>39916.020690630743</v>
      </c>
      <c r="D29" s="3">
        <f>+'Andrew Jackson'!D29+Benicorp!D29+Centennial!D29+'Family Guaranty'!D29+'Farmers &amp; Ranchers'!D29+'First Natl (Thrnr)'!D29+'Franklin American'!D29+'Franklin Protective'!D29+'Golden State'!D29+'International Fin'!D29+'Investors Equity'!D29+Legion!D29+Lumbermens!D29+'National Heritage'!D29+Reliance!D29+'Standard Life IN'!D29+Villanova!D29</f>
        <v>363622.09606254974</v>
      </c>
      <c r="E29" s="3">
        <f>+'Andrew Jackson'!E29+Benicorp!E29+Centennial!E29+'Family Guaranty'!E29+'Farmers &amp; Ranchers'!E29+'First Natl (Thrnr)'!E29+'Franklin American'!E29+'Franklin Protective'!E29+'Golden State'!E29+'International Fin'!E29+'Investors Equity'!E29+Legion!E29+Lumbermens!E29+'National Heritage'!E29+Reliance!E29+'Standard Life IN'!E29+Villanova!E29</f>
        <v>0</v>
      </c>
      <c r="F29" s="3">
        <f t="shared" si="0"/>
        <v>405289.78016066318</v>
      </c>
    </row>
    <row r="30" spans="1:9">
      <c r="A30" t="s">
        <v>24</v>
      </c>
      <c r="B30" s="3">
        <f>+'Andrew Jackson'!B30+Benicorp!B30+Centennial!B30+'Family Guaranty'!B30+'Farmers &amp; Ranchers'!B30+'First Natl (Thrnr)'!B30+'Franklin American'!B30+'Franklin Protective'!B30+'Golden State'!B30+'International Fin'!B30+'Investors Equity'!B30+Legion!B30+Lumbermens!B30+'National Heritage'!B30+Reliance!B30+'Standard Life IN'!B30+Villanova!B30</f>
        <v>45891400.611462913</v>
      </c>
      <c r="C30" s="3">
        <f>+'Andrew Jackson'!C30+Benicorp!C30+Centennial!C30+'Family Guaranty'!C30+'Farmers &amp; Ranchers'!C30+'First Natl (Thrnr)'!C30+'Franklin American'!C30+'Franklin Protective'!C30+'Golden State'!C30+'International Fin'!C30+'Investors Equity'!C30+Legion!C30+Lumbermens!C30+'National Heritage'!C30+Reliance!C30+'Standard Life IN'!C30+Villanova!C30</f>
        <v>11286519.806486055</v>
      </c>
      <c r="D30" s="3">
        <f>+'Andrew Jackson'!D30+Benicorp!D30+Centennial!D30+'Family Guaranty'!D30+'Farmers &amp; Ranchers'!D30+'First Natl (Thrnr)'!D30+'Franklin American'!D30+'Franklin Protective'!D30+'Golden State'!D30+'International Fin'!D30+'Investors Equity'!D30+Legion!D30+Lumbermens!D30+'National Heritage'!D30+Reliance!D30+'Standard Life IN'!D30+Villanova!D30</f>
        <v>200713.07787753383</v>
      </c>
      <c r="E30" s="3">
        <f>+'Andrew Jackson'!E30+Benicorp!E30+Centennial!E30+'Family Guaranty'!E30+'Farmers &amp; Ranchers'!E30+'First Natl (Thrnr)'!E30+'Franklin American'!E30+'Franklin Protective'!E30+'Golden State'!E30+'International Fin'!E30+'Investors Equity'!E30+Legion!E30+Lumbermens!E30+'National Heritage'!E30+Reliance!E30+'Standard Life IN'!E30+Villanova!E30</f>
        <v>0</v>
      </c>
      <c r="F30" s="3">
        <f t="shared" si="0"/>
        <v>57378633.495826505</v>
      </c>
    </row>
    <row r="31" spans="1:9">
      <c r="A31" t="s">
        <v>25</v>
      </c>
      <c r="B31" s="3">
        <f>+'Andrew Jackson'!B31+Benicorp!B31+Centennial!B31+'Family Guaranty'!B31+'Farmers &amp; Ranchers'!B31+'First Natl (Thrnr)'!B31+'Franklin American'!B31+'Franklin Protective'!B31+'Golden State'!B31+'International Fin'!B31+'Investors Equity'!B31+Legion!B31+Lumbermens!B31+'National Heritage'!B31+Reliance!B31+'Standard Life IN'!B31+Villanova!B31</f>
        <v>306143.86811755272</v>
      </c>
      <c r="C31" s="3">
        <f>+'Andrew Jackson'!C31+Benicorp!C31+Centennial!C31+'Family Guaranty'!C31+'Farmers &amp; Ranchers'!C31+'First Natl (Thrnr)'!C31+'Franklin American'!C31+'Franklin Protective'!C31+'Golden State'!C31+'International Fin'!C31+'Investors Equity'!C31+Legion!C31+Lumbermens!C31+'National Heritage'!C31+Reliance!C31+'Standard Life IN'!C31+Villanova!C31</f>
        <v>3021858.8387650233</v>
      </c>
      <c r="D31" s="3">
        <f>+'Andrew Jackson'!D31+Benicorp!D31+Centennial!D31+'Family Guaranty'!D31+'Farmers &amp; Ranchers'!D31+'First Natl (Thrnr)'!D31+'Franklin American'!D31+'Franklin Protective'!D31+'Golden State'!D31+'International Fin'!D31+'Investors Equity'!D31+Legion!D31+Lumbermens!D31+'National Heritage'!D31+Reliance!D31+'Standard Life IN'!D31+Villanova!D31</f>
        <v>3231621.2055940265</v>
      </c>
      <c r="E31" s="3">
        <f>+'Andrew Jackson'!E31+Benicorp!E31+Centennial!E31+'Family Guaranty'!E31+'Farmers &amp; Ranchers'!E31+'First Natl (Thrnr)'!E31+'Franklin American'!E31+'Franklin Protective'!E31+'Golden State'!E31+'International Fin'!E31+'Investors Equity'!E31+Legion!E31+Lumbermens!E31+'National Heritage'!E31+Reliance!E31+'Standard Life IN'!E31+Villanova!E31</f>
        <v>0</v>
      </c>
      <c r="F31" s="3">
        <f t="shared" si="0"/>
        <v>6559623.9124766029</v>
      </c>
    </row>
    <row r="32" spans="1:9">
      <c r="A32" t="s">
        <v>26</v>
      </c>
      <c r="B32" s="3">
        <f>+'Andrew Jackson'!B32+Benicorp!B32+Centennial!B32+'Family Guaranty'!B32+'Farmers &amp; Ranchers'!B32+'First Natl (Thrnr)'!B32+'Franklin American'!B32+'Franklin Protective'!B32+'Golden State'!B32+'International Fin'!B32+'Investors Equity'!B32+Legion!B32+Lumbermens!B32+'National Heritage'!B32+Reliance!B32+'Standard Life IN'!B32+Villanova!B32</f>
        <v>710</v>
      </c>
      <c r="C32" s="3">
        <f>+'Andrew Jackson'!C32+Benicorp!C32+Centennial!C32+'Family Guaranty'!C32+'Farmers &amp; Ranchers'!C32+'First Natl (Thrnr)'!C32+'Franklin American'!C32+'Franklin Protective'!C32+'Golden State'!C32+'International Fin'!C32+'Investors Equity'!C32+Legion!C32+Lumbermens!C32+'National Heritage'!C32+Reliance!C32+'Standard Life IN'!C32+Villanova!C32</f>
        <v>-2398.2231441881831</v>
      </c>
      <c r="D32" s="3">
        <f>+'Andrew Jackson'!D32+Benicorp!D32+Centennial!D32+'Family Guaranty'!D32+'Farmers &amp; Ranchers'!D32+'First Natl (Thrnr)'!D32+'Franklin American'!D32+'Franklin Protective'!D32+'Golden State'!D32+'International Fin'!D32+'Investors Equity'!D32+Legion!D32+Lumbermens!D32+'National Heritage'!D32+Reliance!D32+'Standard Life IN'!D32+Villanova!D32</f>
        <v>19678.814282119682</v>
      </c>
      <c r="E32" s="3">
        <f>+'Andrew Jackson'!E32+Benicorp!E32+Centennial!E32+'Family Guaranty'!E32+'Farmers &amp; Ranchers'!E32+'First Natl (Thrnr)'!E32+'Franklin American'!E32+'Franklin Protective'!E32+'Golden State'!E32+'International Fin'!E32+'Investors Equity'!E32+Legion!E32+Lumbermens!E32+'National Heritage'!E32+Reliance!E32+'Standard Life IN'!E32+Villanova!E32</f>
        <v>0</v>
      </c>
      <c r="F32" s="3">
        <f t="shared" si="0"/>
        <v>17990.5911379315</v>
      </c>
    </row>
    <row r="33" spans="1:6">
      <c r="A33" t="s">
        <v>27</v>
      </c>
      <c r="B33" s="3">
        <f>+'Andrew Jackson'!B33+Benicorp!B33+Centennial!B33+'Family Guaranty'!B33+'Farmers &amp; Ranchers'!B33+'First Natl (Thrnr)'!B33+'Franklin American'!B33+'Franklin Protective'!B33+'Golden State'!B33+'International Fin'!B33+'Investors Equity'!B33+Legion!B33+Lumbermens!B33+'National Heritage'!B33+Reliance!B33+'Standard Life IN'!B33+Villanova!B33</f>
        <v>146518.54788893246</v>
      </c>
      <c r="C33" s="3">
        <f>+'Andrew Jackson'!C33+Benicorp!C33+Centennial!C33+'Family Guaranty'!C33+'Farmers &amp; Ranchers'!C33+'First Natl (Thrnr)'!C33+'Franklin American'!C33+'Franklin Protective'!C33+'Golden State'!C33+'International Fin'!C33+'Investors Equity'!C33+Legion!C33+Lumbermens!C33+'National Heritage'!C33+Reliance!C33+'Standard Life IN'!C33+Villanova!C33</f>
        <v>2334564.5316045303</v>
      </c>
      <c r="D33" s="3">
        <f>+'Andrew Jackson'!D33+Benicorp!D33+Centennial!D33+'Family Guaranty'!D33+'Farmers &amp; Ranchers'!D33+'First Natl (Thrnr)'!D33+'Franklin American'!D33+'Franklin Protective'!D33+'Golden State'!D33+'International Fin'!D33+'Investors Equity'!D33+Legion!D33+Lumbermens!D33+'National Heritage'!D33+Reliance!D33+'Standard Life IN'!D33+Villanova!D33</f>
        <v>2624265.554040411</v>
      </c>
      <c r="E33" s="3">
        <f>+'Andrew Jackson'!E33+Benicorp!E33+Centennial!E33+'Family Guaranty'!E33+'Farmers &amp; Ranchers'!E33+'First Natl (Thrnr)'!E33+'Franklin American'!E33+'Franklin Protective'!E33+'Golden State'!E33+'International Fin'!E33+'Investors Equity'!E33+Legion!E33+Lumbermens!E33+'National Heritage'!E33+Reliance!E33+'Standard Life IN'!E33+Villanova!E33</f>
        <v>0</v>
      </c>
      <c r="F33" s="3">
        <f t="shared" si="0"/>
        <v>5105348.6335338736</v>
      </c>
    </row>
    <row r="34" spans="1:6">
      <c r="A34" t="s">
        <v>28</v>
      </c>
      <c r="B34" s="3">
        <f>+'Andrew Jackson'!B34+Benicorp!B34+Centennial!B34+'Family Guaranty'!B34+'Farmers &amp; Ranchers'!B34+'First Natl (Thrnr)'!B34+'Franklin American'!B34+'Franklin Protective'!B34+'Golden State'!B34+'International Fin'!B34+'Investors Equity'!B34+Legion!B34+Lumbermens!B34+'National Heritage'!B34+Reliance!B34+'Standard Life IN'!B34+Villanova!B34</f>
        <v>9221.1973988199406</v>
      </c>
      <c r="C34" s="3">
        <f>+'Andrew Jackson'!C34+Benicorp!C34+Centennial!C34+'Family Guaranty'!C34+'Farmers &amp; Ranchers'!C34+'First Natl (Thrnr)'!C34+'Franklin American'!C34+'Franklin Protective'!C34+'Golden State'!C34+'International Fin'!C34+'Investors Equity'!C34+Legion!C34+Lumbermens!C34+'National Heritage'!C34+Reliance!C34+'Standard Life IN'!C34+Villanova!C34</f>
        <v>122109.86643718227</v>
      </c>
      <c r="D34" s="3">
        <f>+'Andrew Jackson'!D34+Benicorp!D34+Centennial!D34+'Family Guaranty'!D34+'Farmers &amp; Ranchers'!D34+'First Natl (Thrnr)'!D34+'Franklin American'!D34+'Franklin Protective'!D34+'Golden State'!D34+'International Fin'!D34+'Investors Equity'!D34+Legion!D34+Lumbermens!D34+'National Heritage'!D34+Reliance!D34+'Standard Life IN'!D34+Villanova!D34</f>
        <v>3714697.7451978363</v>
      </c>
      <c r="E34" s="3">
        <f>+'Andrew Jackson'!E34+Benicorp!E34+Centennial!E34+'Family Guaranty'!E34+'Farmers &amp; Ranchers'!E34+'First Natl (Thrnr)'!E34+'Franklin American'!E34+'Franklin Protective'!E34+'Golden State'!E34+'International Fin'!E34+'Investors Equity'!E34+Legion!E34+Lumbermens!E34+'National Heritage'!E34+Reliance!E34+'Standard Life IN'!E34+Villanova!E34</f>
        <v>0</v>
      </c>
      <c r="F34" s="3">
        <f t="shared" si="0"/>
        <v>3846028.8090338386</v>
      </c>
    </row>
    <row r="35" spans="1:6">
      <c r="A35" t="s">
        <v>29</v>
      </c>
      <c r="B35" s="3">
        <f>+'Andrew Jackson'!B35+Benicorp!B35+Centennial!B35+'Family Guaranty'!B35+'Farmers &amp; Ranchers'!B35+'First Natl (Thrnr)'!B35+'Franklin American'!B35+'Franklin Protective'!B35+'Golden State'!B35+'International Fin'!B35+'Investors Equity'!B35+Legion!B35+Lumbermens!B35+'National Heritage'!B35+Reliance!B35+'Standard Life IN'!B35+Villanova!B35</f>
        <v>0</v>
      </c>
      <c r="C35" s="3">
        <f>+'Andrew Jackson'!C35+Benicorp!C35+Centennial!C35+'Family Guaranty'!C35+'Farmers &amp; Ranchers'!C35+'First Natl (Thrnr)'!C35+'Franklin American'!C35+'Franklin Protective'!C35+'Golden State'!C35+'International Fin'!C35+'Investors Equity'!C35+Legion!C35+Lumbermens!C35+'National Heritage'!C35+Reliance!C35+'Standard Life IN'!C35+Villanova!C35</f>
        <v>247.32217053513315</v>
      </c>
      <c r="D35" s="3">
        <f>+'Andrew Jackson'!D35+Benicorp!D35+Centennial!D35+'Family Guaranty'!D35+'Farmers &amp; Ranchers'!D35+'First Natl (Thrnr)'!D35+'Franklin American'!D35+'Franklin Protective'!D35+'Golden State'!D35+'International Fin'!D35+'Investors Equity'!D35+Legion!D35+Lumbermens!D35+'National Heritage'!D35+Reliance!D35+'Standard Life IN'!D35+Villanova!D35</f>
        <v>207920.88847810443</v>
      </c>
      <c r="E35" s="3">
        <f>+'Andrew Jackson'!E35+Benicorp!E35+Centennial!E35+'Family Guaranty'!E35+'Farmers &amp; Ranchers'!E35+'First Natl (Thrnr)'!E35+'Franklin American'!E35+'Franklin Protective'!E35+'Golden State'!E35+'International Fin'!E35+'Investors Equity'!E35+Legion!E35+Lumbermens!E35+'National Heritage'!E35+Reliance!E35+'Standard Life IN'!E35+Villanova!E35</f>
        <v>0</v>
      </c>
      <c r="F35" s="3">
        <f t="shared" si="0"/>
        <v>208168.21064863956</v>
      </c>
    </row>
    <row r="36" spans="1:6">
      <c r="A36" t="s">
        <v>30</v>
      </c>
      <c r="B36" s="3">
        <f>+'Andrew Jackson'!B36+Benicorp!B36+Centennial!B36+'Family Guaranty'!B36+'Farmers &amp; Ranchers'!B36+'First Natl (Thrnr)'!B36+'Franklin American'!B36+'Franklin Protective'!B36+'Golden State'!B36+'International Fin'!B36+'Investors Equity'!B36+Legion!B36+Lumbermens!B36+'National Heritage'!B36+Reliance!B36+'Standard Life IN'!B36+Villanova!B36</f>
        <v>0</v>
      </c>
      <c r="C36" s="3">
        <f>+'Andrew Jackson'!C36+Benicorp!C36+Centennial!C36+'Family Guaranty'!C36+'Farmers &amp; Ranchers'!C36+'First Natl (Thrnr)'!C36+'Franklin American'!C36+'Franklin Protective'!C36+'Golden State'!C36+'International Fin'!C36+'Investors Equity'!C36+Legion!C36+Lumbermens!C36+'National Heritage'!C36+Reliance!C36+'Standard Life IN'!C36+Villanova!C36</f>
        <v>0</v>
      </c>
      <c r="D36" s="3">
        <f>+'Andrew Jackson'!D36+Benicorp!D36+Centennial!D36+'Family Guaranty'!D36+'Farmers &amp; Ranchers'!D36+'First Natl (Thrnr)'!D36+'Franklin American'!D36+'Franklin Protective'!D36+'Golden State'!D36+'International Fin'!D36+'Investors Equity'!D36+Legion!D36+Lumbermens!D36+'National Heritage'!D36+Reliance!D36+'Standard Life IN'!D36+Villanova!D36</f>
        <v>582725.53501694009</v>
      </c>
      <c r="E36" s="3">
        <f>+'Andrew Jackson'!E36+Benicorp!E36+Centennial!E36+'Family Guaranty'!E36+'Farmers &amp; Ranchers'!E36+'First Natl (Thrnr)'!E36+'Franklin American'!E36+'Franklin Protective'!E36+'Golden State'!E36+'International Fin'!E36+'Investors Equity'!E36+Legion!E36+Lumbermens!E36+'National Heritage'!E36+Reliance!E36+'Standard Life IN'!E36+Villanova!E36</f>
        <v>0</v>
      </c>
      <c r="F36" s="3">
        <f t="shared" si="0"/>
        <v>582725.53501694009</v>
      </c>
    </row>
    <row r="37" spans="1:6">
      <c r="A37" t="s">
        <v>31</v>
      </c>
      <c r="B37" s="3">
        <f>+'Andrew Jackson'!B37+Benicorp!B37+Centennial!B37+'Family Guaranty'!B37+'Farmers &amp; Ranchers'!B37+'First Natl (Thrnr)'!B37+'Franklin American'!B37+'Franklin Protective'!B37+'Golden State'!B37+'International Fin'!B37+'Investors Equity'!B37+Legion!B37+Lumbermens!B37+'National Heritage'!B37+Reliance!B37+'Standard Life IN'!B37+Villanova!B37</f>
        <v>88552.572314853925</v>
      </c>
      <c r="C37" s="3">
        <f>+'Andrew Jackson'!C37+Benicorp!C37+Centennial!C37+'Family Guaranty'!C37+'Farmers &amp; Ranchers'!C37+'First Natl (Thrnr)'!C37+'Franklin American'!C37+'Franklin Protective'!C37+'Golden State'!C37+'International Fin'!C37+'Investors Equity'!C37+Legion!C37+Lumbermens!C37+'National Heritage'!C37+Reliance!C37+'Standard Life IN'!C37+Villanova!C37</f>
        <v>350066.37520661188</v>
      </c>
      <c r="D37" s="3">
        <f>+'Andrew Jackson'!D37+Benicorp!D37+Centennial!D37+'Family Guaranty'!D37+'Farmers &amp; Ranchers'!D37+'First Natl (Thrnr)'!D37+'Franklin American'!D37+'Franklin Protective'!D37+'Golden State'!D37+'International Fin'!D37+'Investors Equity'!D37+Legion!D37+Lumbermens!D37+'National Heritage'!D37+Reliance!D37+'Standard Life IN'!D37+Villanova!D37</f>
        <v>123239.68976458051</v>
      </c>
      <c r="E37" s="3">
        <f>+'Andrew Jackson'!E37+Benicorp!E37+Centennial!E37+'Family Guaranty'!E37+'Farmers &amp; Ranchers'!E37+'First Natl (Thrnr)'!E37+'Franklin American'!E37+'Franklin Protective'!E37+'Golden State'!E37+'International Fin'!E37+'Investors Equity'!E37+Legion!E37+Lumbermens!E37+'National Heritage'!E37+Reliance!E37+'Standard Life IN'!E37+Villanova!E37</f>
        <v>0</v>
      </c>
      <c r="F37" s="3">
        <f t="shared" si="0"/>
        <v>561858.63728604629</v>
      </c>
    </row>
    <row r="38" spans="1:6">
      <c r="A38" t="s">
        <v>32</v>
      </c>
      <c r="B38" s="3">
        <f>+'Andrew Jackson'!B38+Benicorp!B38+Centennial!B38+'Family Guaranty'!B38+'Farmers &amp; Ranchers'!B38+'First Natl (Thrnr)'!B38+'Franklin American'!B38+'Franklin Protective'!B38+'Golden State'!B38+'International Fin'!B38+'Investors Equity'!B38+Legion!B38+Lumbermens!B38+'National Heritage'!B38+Reliance!B38+'Standard Life IN'!B38+Villanova!B38</f>
        <v>0</v>
      </c>
      <c r="C38" s="3">
        <f>+'Andrew Jackson'!C38+Benicorp!C38+Centennial!C38+'Family Guaranty'!C38+'Farmers &amp; Ranchers'!C38+'First Natl (Thrnr)'!C38+'Franklin American'!C38+'Franklin Protective'!C38+'Golden State'!C38+'International Fin'!C38+'Investors Equity'!C38+Legion!C38+Lumbermens!C38+'National Heritage'!C38+Reliance!C38+'Standard Life IN'!C38+Villanova!C38</f>
        <v>0</v>
      </c>
      <c r="D38" s="3">
        <f>+'Andrew Jackson'!D38+Benicorp!D38+Centennial!D38+'Family Guaranty'!D38+'Farmers &amp; Ranchers'!D38+'First Natl (Thrnr)'!D38+'Franklin American'!D38+'Franklin Protective'!D38+'Golden State'!D38+'International Fin'!D38+'Investors Equity'!D38+Legion!D38+Lumbermens!D38+'National Heritage'!D38+Reliance!D38+'Standard Life IN'!D38+Villanova!D38</f>
        <v>-143439.65</v>
      </c>
      <c r="E38" s="3">
        <f>+'Andrew Jackson'!E38+Benicorp!E38+Centennial!E38+'Family Guaranty'!E38+'Farmers &amp; Ranchers'!E38+'First Natl (Thrnr)'!E38+'Franklin American'!E38+'Franklin Protective'!E38+'Golden State'!E38+'International Fin'!E38+'Investors Equity'!E38+Legion!E38+Lumbermens!E38+'National Heritage'!E38+Reliance!E38+'Standard Life IN'!E38+Villanova!E38</f>
        <v>0</v>
      </c>
      <c r="F38" s="3">
        <f t="shared" ref="F38:F58" si="1">SUM(B38:E38)</f>
        <v>-143439.65</v>
      </c>
    </row>
    <row r="39" spans="1:6">
      <c r="A39" t="s">
        <v>33</v>
      </c>
      <c r="B39" s="3">
        <f>+'Andrew Jackson'!B39+Benicorp!B39+Centennial!B39+'Family Guaranty'!B39+'Farmers &amp; Ranchers'!B39+'First Natl (Thrnr)'!B39+'Franklin American'!B39+'Franklin Protective'!B39+'Golden State'!B39+'International Fin'!B39+'Investors Equity'!B39+Legion!B39+Lumbermens!B39+'National Heritage'!B39+Reliance!B39+'Standard Life IN'!B39+Villanova!B39</f>
        <v>5306548.3435048806</v>
      </c>
      <c r="C39" s="3">
        <f>+'Andrew Jackson'!C39+Benicorp!C39+Centennial!C39+'Family Guaranty'!C39+'Farmers &amp; Ranchers'!C39+'First Natl (Thrnr)'!C39+'Franklin American'!C39+'Franklin Protective'!C39+'Golden State'!C39+'International Fin'!C39+'Investors Equity'!C39+Legion!C39+Lumbermens!C39+'National Heritage'!C39+Reliance!C39+'Standard Life IN'!C39+Villanova!C39</f>
        <v>2739422.9031445109</v>
      </c>
      <c r="D39" s="3">
        <f>+'Andrew Jackson'!D39+Benicorp!D39+Centennial!D39+'Family Guaranty'!D39+'Farmers &amp; Ranchers'!D39+'First Natl (Thrnr)'!D39+'Franklin American'!D39+'Franklin Protective'!D39+'Golden State'!D39+'International Fin'!D39+'Investors Equity'!D39+Legion!D39+Lumbermens!D39+'National Heritage'!D39+Reliance!D39+'Standard Life IN'!D39+Villanova!D39</f>
        <v>1472615.4405174365</v>
      </c>
      <c r="E39" s="3">
        <f>+'Andrew Jackson'!E39+Benicorp!E39+Centennial!E39+'Family Guaranty'!E39+'Farmers &amp; Ranchers'!E39+'First Natl (Thrnr)'!E39+'Franklin American'!E39+'Franklin Protective'!E39+'Golden State'!E39+'International Fin'!E39+'Investors Equity'!E39+Legion!E39+Lumbermens!E39+'National Heritage'!E39+Reliance!E39+'Standard Life IN'!E39+Villanova!E39</f>
        <v>0</v>
      </c>
      <c r="F39" s="3">
        <f t="shared" si="1"/>
        <v>9518586.6871668287</v>
      </c>
    </row>
    <row r="40" spans="1:6">
      <c r="A40" t="s">
        <v>34</v>
      </c>
      <c r="B40" s="3">
        <f>+'Andrew Jackson'!B40+Benicorp!B40+Centennial!B40+'Family Guaranty'!B40+'Farmers &amp; Ranchers'!B40+'First Natl (Thrnr)'!B40+'Franklin American'!B40+'Franklin Protective'!B40+'Golden State'!B40+'International Fin'!B40+'Investors Equity'!B40+Legion!B40+Lumbermens!B40+'National Heritage'!B40+Reliance!B40+'Standard Life IN'!B40+Villanova!B40</f>
        <v>818</v>
      </c>
      <c r="C40" s="3">
        <f>+'Andrew Jackson'!C40+Benicorp!C40+Centennial!C40+'Family Guaranty'!C40+'Farmers &amp; Ranchers'!C40+'First Natl (Thrnr)'!C40+'Franklin American'!C40+'Franklin Protective'!C40+'Golden State'!C40+'International Fin'!C40+'Investors Equity'!C40+Legion!C40+Lumbermens!C40+'National Heritage'!C40+Reliance!C40+'Standard Life IN'!C40+Villanova!C40</f>
        <v>82023.141052380219</v>
      </c>
      <c r="D40" s="3">
        <f>+'Andrew Jackson'!D40+Benicorp!D40+Centennial!D40+'Family Guaranty'!D40+'Farmers &amp; Ranchers'!D40+'First Natl (Thrnr)'!D40+'Franklin American'!D40+'Franklin Protective'!D40+'Golden State'!D40+'International Fin'!D40+'Investors Equity'!D40+Legion!D40+Lumbermens!D40+'National Heritage'!D40+Reliance!D40+'Standard Life IN'!D40+Villanova!D40</f>
        <v>2498.7024856051157</v>
      </c>
      <c r="E40" s="3">
        <f>+'Andrew Jackson'!E40+Benicorp!E40+Centennial!E40+'Family Guaranty'!E40+'Farmers &amp; Ranchers'!E40+'First Natl (Thrnr)'!E40+'Franklin American'!E40+'Franklin Protective'!E40+'Golden State'!E40+'International Fin'!E40+'Investors Equity'!E40+Legion!E40+Lumbermens!E40+'National Heritage'!E40+Reliance!E40+'Standard Life IN'!E40+Villanova!E40</f>
        <v>0</v>
      </c>
      <c r="F40" s="3">
        <f t="shared" si="1"/>
        <v>85339.843537985333</v>
      </c>
    </row>
    <row r="41" spans="1:6">
      <c r="A41" t="s">
        <v>35</v>
      </c>
      <c r="B41" s="3">
        <f>+'Andrew Jackson'!B41+Benicorp!B41+Centennial!B41+'Family Guaranty'!B41+'Farmers &amp; Ranchers'!B41+'First Natl (Thrnr)'!B41+'Franklin American'!B41+'Franklin Protective'!B41+'Golden State'!B41+'International Fin'!B41+'Investors Equity'!B41+Legion!B41+Lumbermens!B41+'National Heritage'!B41+Reliance!B41+'Standard Life IN'!B41+Villanova!B41</f>
        <v>53232.785645585776</v>
      </c>
      <c r="C41" s="3">
        <f>+'Andrew Jackson'!C41+Benicorp!C41+Centennial!C41+'Family Guaranty'!C41+'Farmers &amp; Ranchers'!C41+'First Natl (Thrnr)'!C41+'Franklin American'!C41+'Franklin Protective'!C41+'Golden State'!C41+'International Fin'!C41+'Investors Equity'!C41+Legion!C41+Lumbermens!C41+'National Heritage'!C41+Reliance!C41+'Standard Life IN'!C41+Villanova!C41</f>
        <v>450284.65979332721</v>
      </c>
      <c r="D41" s="3">
        <f>+'Andrew Jackson'!D41+Benicorp!D41+Centennial!D41+'Family Guaranty'!D41+'Farmers &amp; Ranchers'!D41+'First Natl (Thrnr)'!D41+'Franklin American'!D41+'Franklin Protective'!D41+'Golden State'!D41+'International Fin'!D41+'Investors Equity'!D41+Legion!D41+Lumbermens!D41+'National Heritage'!D41+Reliance!D41+'Standard Life IN'!D41+Villanova!D41</f>
        <v>4292262.9091215916</v>
      </c>
      <c r="E41" s="3">
        <f>+'Andrew Jackson'!E41+Benicorp!E41+Centennial!E41+'Family Guaranty'!E41+'Farmers &amp; Ranchers'!E41+'First Natl (Thrnr)'!E41+'Franklin American'!E41+'Franklin Protective'!E41+'Golden State'!E41+'International Fin'!E41+'Investors Equity'!E41+Legion!E41+Lumbermens!E41+'National Heritage'!E41+Reliance!E41+'Standard Life IN'!E41+Villanova!E41</f>
        <v>0</v>
      </c>
      <c r="F41" s="3">
        <f t="shared" si="1"/>
        <v>4795780.3545605047</v>
      </c>
    </row>
    <row r="42" spans="1:6">
      <c r="A42" t="s">
        <v>36</v>
      </c>
      <c r="B42" s="3">
        <f>+'Andrew Jackson'!B42+Benicorp!B42+Centennial!B42+'Family Guaranty'!B42+'Farmers &amp; Ranchers'!B42+'First Natl (Thrnr)'!B42+'Franklin American'!B42+'Franklin Protective'!B42+'Golden State'!B42+'International Fin'!B42+'Investors Equity'!B42+Legion!B42+Lumbermens!B42+'National Heritage'!B42+Reliance!B42+'Standard Life IN'!B42+Villanova!B42</f>
        <v>4865497.8016347308</v>
      </c>
      <c r="C42" s="3">
        <f>+'Andrew Jackson'!C42+Benicorp!C42+Centennial!C42+'Family Guaranty'!C42+'Farmers &amp; Ranchers'!C42+'First Natl (Thrnr)'!C42+'Franklin American'!C42+'Franklin Protective'!C42+'Golden State'!C42+'International Fin'!C42+'Investors Equity'!C42+Legion!C42+Lumbermens!C42+'National Heritage'!C42+Reliance!C42+'Standard Life IN'!C42+Villanova!C42</f>
        <v>4933854.8541966695</v>
      </c>
      <c r="D42" s="3">
        <f>+'Andrew Jackson'!D42+Benicorp!D42+Centennial!D42+'Family Guaranty'!D42+'Farmers &amp; Ranchers'!D42+'First Natl (Thrnr)'!D42+'Franklin American'!D42+'Franklin Protective'!D42+'Golden State'!D42+'International Fin'!D42+'Investors Equity'!D42+Legion!D42+Lumbermens!D42+'National Heritage'!D42+Reliance!D42+'Standard Life IN'!D42+Villanova!D42</f>
        <v>316314.87010065647</v>
      </c>
      <c r="E42" s="3">
        <f>+'Andrew Jackson'!E42+Benicorp!E42+Centennial!E42+'Family Guaranty'!E42+'Farmers &amp; Ranchers'!E42+'First Natl (Thrnr)'!E42+'Franklin American'!E42+'Franklin Protective'!E42+'Golden State'!E42+'International Fin'!E42+'Investors Equity'!E42+Legion!E42+Lumbermens!E42+'National Heritage'!E42+Reliance!E42+'Standard Life IN'!E42+Villanova!E42</f>
        <v>0</v>
      </c>
      <c r="F42" s="3">
        <f t="shared" si="1"/>
        <v>10115667.525932057</v>
      </c>
    </row>
    <row r="43" spans="1:6">
      <c r="A43" t="s">
        <v>37</v>
      </c>
      <c r="B43" s="3">
        <f>+'Andrew Jackson'!B43+Benicorp!B43+Centennial!B43+'Family Guaranty'!B43+'Farmers &amp; Ranchers'!B43+'First Natl (Thrnr)'!B43+'Franklin American'!B43+'Franklin Protective'!B43+'Golden State'!B43+'International Fin'!B43+'Investors Equity'!B43+Legion!B43+Lumbermens!B43+'National Heritage'!B43+Reliance!B43+'Standard Life IN'!B43+Villanova!B43</f>
        <v>14435.784968167416</v>
      </c>
      <c r="C43" s="3">
        <f>+'Andrew Jackson'!C43+Benicorp!C43+Centennial!C43+'Family Guaranty'!C43+'Farmers &amp; Ranchers'!C43+'First Natl (Thrnr)'!C43+'Franklin American'!C43+'Franklin Protective'!C43+'Golden State'!C43+'International Fin'!C43+'Investors Equity'!C43+Legion!C43+Lumbermens!C43+'National Heritage'!C43+Reliance!C43+'Standard Life IN'!C43+Villanova!C43</f>
        <v>98388.120089146032</v>
      </c>
      <c r="D43" s="3">
        <f>+'Andrew Jackson'!D43+Benicorp!D43+Centennial!D43+'Family Guaranty'!D43+'Farmers &amp; Ranchers'!D43+'First Natl (Thrnr)'!D43+'Franklin American'!D43+'Franklin Protective'!D43+'Golden State'!D43+'International Fin'!D43+'Investors Equity'!D43+Legion!D43+Lumbermens!D43+'National Heritage'!D43+Reliance!D43+'Standard Life IN'!D43+Villanova!D43</f>
        <v>144501.02853258431</v>
      </c>
      <c r="E43" s="3">
        <f>+'Andrew Jackson'!E43+Benicorp!E43+Centennial!E43+'Family Guaranty'!E43+'Farmers &amp; Ranchers'!E43+'First Natl (Thrnr)'!E43+'Franklin American'!E43+'Franklin Protective'!E43+'Golden State'!E43+'International Fin'!E43+'Investors Equity'!E43+Legion!E43+Lumbermens!E43+'National Heritage'!E43+Reliance!E43+'Standard Life IN'!E43+Villanova!E43</f>
        <v>0</v>
      </c>
      <c r="F43" s="3">
        <f t="shared" si="1"/>
        <v>257324.93358989776</v>
      </c>
    </row>
    <row r="44" spans="1:6">
      <c r="A44" t="s">
        <v>38</v>
      </c>
      <c r="B44" s="3">
        <f>+'Andrew Jackson'!B44+Benicorp!B44+Centennial!B44+'Family Guaranty'!B44+'Farmers &amp; Ranchers'!B44+'First Natl (Thrnr)'!B44+'Franklin American'!B44+'Franklin Protective'!B44+'Golden State'!B44+'International Fin'!B44+'Investors Equity'!B44+Legion!B44+Lumbermens!B44+'National Heritage'!B44+Reliance!B44+'Standard Life IN'!B44+Villanova!B44</f>
        <v>153.06793911340782</v>
      </c>
      <c r="C44" s="3">
        <f>+'Andrew Jackson'!C44+Benicorp!C44+Centennial!C44+'Family Guaranty'!C44+'Farmers &amp; Ranchers'!C44+'First Natl (Thrnr)'!C44+'Franklin American'!C44+'Franklin Protective'!C44+'Golden State'!C44+'International Fin'!C44+'Investors Equity'!C44+Legion!C44+Lumbermens!C44+'National Heritage'!C44+Reliance!C44+'Standard Life IN'!C44+Villanova!C44</f>
        <v>20084.162334387453</v>
      </c>
      <c r="D44" s="3">
        <f>+'Andrew Jackson'!D44+Benicorp!D44+Centennial!D44+'Family Guaranty'!D44+'Farmers &amp; Ranchers'!D44+'First Natl (Thrnr)'!D44+'Franklin American'!D44+'Franklin Protective'!D44+'Golden State'!D44+'International Fin'!D44+'Investors Equity'!D44+Legion!D44+Lumbermens!D44+'National Heritage'!D44+Reliance!D44+'Standard Life IN'!D44+Villanova!D44</f>
        <v>743035.78457953467</v>
      </c>
      <c r="E44" s="3">
        <f>+'Andrew Jackson'!E44+Benicorp!E44+Centennial!E44+'Family Guaranty'!E44+'Farmers &amp; Ranchers'!E44+'First Natl (Thrnr)'!E44+'Franklin American'!E44+'Franklin Protective'!E44+'Golden State'!E44+'International Fin'!E44+'Investors Equity'!E44+Legion!E44+Lumbermens!E44+'National Heritage'!E44+Reliance!E44+'Standard Life IN'!E44+Villanova!E44</f>
        <v>0</v>
      </c>
      <c r="F44" s="3">
        <f t="shared" si="1"/>
        <v>763273.01485303557</v>
      </c>
    </row>
    <row r="45" spans="1:6">
      <c r="A45" t="s">
        <v>39</v>
      </c>
      <c r="B45" s="3">
        <f>+'Andrew Jackson'!B45+Benicorp!B45+Centennial!B45+'Family Guaranty'!B45+'Farmers &amp; Ranchers'!B45+'First Natl (Thrnr)'!B45+'Franklin American'!B45+'Franklin Protective'!B45+'Golden State'!B45+'International Fin'!B45+'Investors Equity'!B45+Legion!B45+Lumbermens!B45+'National Heritage'!B45+Reliance!B45+'Standard Life IN'!B45+Villanova!B45</f>
        <v>0</v>
      </c>
      <c r="C45" s="3">
        <f>+'Andrew Jackson'!C45+Benicorp!C45+Centennial!C45+'Family Guaranty'!C45+'Farmers &amp; Ranchers'!C45+'First Natl (Thrnr)'!C45+'Franklin American'!C45+'Franklin Protective'!C45+'Golden State'!C45+'International Fin'!C45+'Investors Equity'!C45+Legion!C45+Lumbermens!C45+'National Heritage'!C45+Reliance!C45+'Standard Life IN'!C45+Villanova!C45</f>
        <v>0</v>
      </c>
      <c r="D45" s="3">
        <f>+'Andrew Jackson'!D45+Benicorp!D45+Centennial!D45+'Family Guaranty'!D45+'Farmers &amp; Ranchers'!D45+'First Natl (Thrnr)'!D45+'Franklin American'!D45+'Franklin Protective'!D45+'Golden State'!D45+'International Fin'!D45+'Investors Equity'!D45+Legion!D45+Lumbermens!D45+'National Heritage'!D45+Reliance!D45+'Standard Life IN'!D45+Villanova!D45</f>
        <v>-7496.924545560978</v>
      </c>
      <c r="E45" s="3">
        <f>+'Andrew Jackson'!E45+Benicorp!E45+Centennial!E45+'Family Guaranty'!E45+'Farmers &amp; Ranchers'!E45+'First Natl (Thrnr)'!E45+'Franklin American'!E45+'Franklin Protective'!E45+'Golden State'!E45+'International Fin'!E45+'Investors Equity'!E45+Legion!E45+Lumbermens!E45+'National Heritage'!E45+Reliance!E45+'Standard Life IN'!E45+Villanova!E45</f>
        <v>0</v>
      </c>
      <c r="F45" s="3">
        <f t="shared" si="1"/>
        <v>-7496.924545560978</v>
      </c>
    </row>
    <row r="46" spans="1:6">
      <c r="A46" t="s">
        <v>40</v>
      </c>
      <c r="B46" s="3">
        <f>+'Andrew Jackson'!B46+Benicorp!B46+Centennial!B46+'Family Guaranty'!B46+'Farmers &amp; Ranchers'!B46+'First Natl (Thrnr)'!B46+'Franklin American'!B46+'Franklin Protective'!B46+'Golden State'!B46+'International Fin'!B46+'Investors Equity'!B46+Legion!B46+Lumbermens!B46+'National Heritage'!B46+Reliance!B46+'Standard Life IN'!B46+Villanova!B46</f>
        <v>0</v>
      </c>
      <c r="C46" s="3">
        <f>+'Andrew Jackson'!C46+Benicorp!C46+Centennial!C46+'Family Guaranty'!C46+'Farmers &amp; Ranchers'!C46+'First Natl (Thrnr)'!C46+'Franklin American'!C46+'Franklin Protective'!C46+'Golden State'!C46+'International Fin'!C46+'Investors Equity'!C46+Legion!C46+Lumbermens!C46+'National Heritage'!C46+Reliance!C46+'Standard Life IN'!C46+Villanova!C46</f>
        <v>1880.4495395343324</v>
      </c>
      <c r="D46" s="3">
        <f>+'Andrew Jackson'!D46+Benicorp!D46+Centennial!D46+'Family Guaranty'!D46+'Farmers &amp; Ranchers'!D46+'First Natl (Thrnr)'!D46+'Franklin American'!D46+'Franklin Protective'!D46+'Golden State'!D46+'International Fin'!D46+'Investors Equity'!D46+Legion!D46+Lumbermens!D46+'National Heritage'!D46+Reliance!D46+'Standard Life IN'!D46+Villanova!D46</f>
        <v>229788.93993629562</v>
      </c>
      <c r="E46" s="3">
        <f>+'Andrew Jackson'!E46+Benicorp!E46+Centennial!E46+'Family Guaranty'!E46+'Farmers &amp; Ranchers'!E46+'First Natl (Thrnr)'!E46+'Franklin American'!E46+'Franklin Protective'!E46+'Golden State'!E46+'International Fin'!E46+'Investors Equity'!E46+Legion!E46+Lumbermens!E46+'National Heritage'!E46+Reliance!E46+'Standard Life IN'!E46+Villanova!E46</f>
        <v>0</v>
      </c>
      <c r="F46" s="3">
        <f t="shared" si="1"/>
        <v>231669.38947582996</v>
      </c>
    </row>
    <row r="47" spans="1:6">
      <c r="A47" t="s">
        <v>41</v>
      </c>
      <c r="B47" s="3">
        <f>+'Andrew Jackson'!B47+Benicorp!B47+Centennial!B47+'Family Guaranty'!B47+'Farmers &amp; Ranchers'!B47+'First Natl (Thrnr)'!B47+'Franklin American'!B47+'Franklin Protective'!B47+'Golden State'!B47+'International Fin'!B47+'Investors Equity'!B47+Legion!B47+Lumbermens!B47+'National Heritage'!B47+Reliance!B47+'Standard Life IN'!B47+Villanova!B47</f>
        <v>97674.86306598087</v>
      </c>
      <c r="C47" s="3">
        <f>+'Andrew Jackson'!C47+Benicorp!C47+Centennial!C47+'Family Guaranty'!C47+'Farmers &amp; Ranchers'!C47+'First Natl (Thrnr)'!C47+'Franklin American'!C47+'Franklin Protective'!C47+'Golden State'!C47+'International Fin'!C47+'Investors Equity'!C47+Legion!C47+Lumbermens!C47+'National Heritage'!C47+Reliance!C47+'Standard Life IN'!C47+Villanova!C47</f>
        <v>699524.16230686975</v>
      </c>
      <c r="D47" s="3">
        <f>+'Andrew Jackson'!D47+Benicorp!D47+Centennial!D47+'Family Guaranty'!D47+'Farmers &amp; Ranchers'!D47+'First Natl (Thrnr)'!D47+'Franklin American'!D47+'Franklin Protective'!D47+'Golden State'!D47+'International Fin'!D47+'Investors Equity'!D47+Legion!D47+Lumbermens!D47+'National Heritage'!D47+Reliance!D47+'Standard Life IN'!D47+Villanova!D47</f>
        <v>1315936.7569360055</v>
      </c>
      <c r="E47" s="3">
        <f>+'Andrew Jackson'!E47+Benicorp!E47+Centennial!E47+'Family Guaranty'!E47+'Farmers &amp; Ranchers'!E47+'First Natl (Thrnr)'!E47+'Franklin American'!E47+'Franklin Protective'!E47+'Golden State'!E47+'International Fin'!E47+'Investors Equity'!E47+Legion!E47+Lumbermens!E47+'National Heritage'!E47+Reliance!E47+'Standard Life IN'!E47+Villanova!E47</f>
        <v>0</v>
      </c>
      <c r="F47" s="3">
        <f t="shared" si="1"/>
        <v>2113135.782308856</v>
      </c>
    </row>
    <row r="48" spans="1:6">
      <c r="A48" t="s">
        <v>42</v>
      </c>
      <c r="B48" s="3">
        <f>+'Andrew Jackson'!B48+Benicorp!B48+Centennial!B48+'Family Guaranty'!B48+'Farmers &amp; Ranchers'!B48+'First Natl (Thrnr)'!B48+'Franklin American'!B48+'Franklin Protective'!B48+'Golden State'!B48+'International Fin'!B48+'Investors Equity'!B48+Legion!B48+Lumbermens!B48+'National Heritage'!B48+Reliance!B48+'Standard Life IN'!B48+Villanova!B48</f>
        <v>1025.8003026862548</v>
      </c>
      <c r="C48" s="3">
        <f>+'Andrew Jackson'!C48+Benicorp!C48+Centennial!C48+'Family Guaranty'!C48+'Farmers &amp; Ranchers'!C48+'First Natl (Thrnr)'!C48+'Franklin American'!C48+'Franklin Protective'!C48+'Golden State'!C48+'International Fin'!C48+'Investors Equity'!C48+Legion!C48+Lumbermens!C48+'National Heritage'!C48+Reliance!C48+'Standard Life IN'!C48+Villanova!C48</f>
        <v>53581.619337110249</v>
      </c>
      <c r="D48" s="3">
        <f>+'Andrew Jackson'!D48+Benicorp!D48+Centennial!D48+'Family Guaranty'!D48+'Farmers &amp; Ranchers'!D48+'First Natl (Thrnr)'!D48+'Franklin American'!D48+'Franklin Protective'!D48+'Golden State'!D48+'International Fin'!D48+'Investors Equity'!D48+Legion!D48+Lumbermens!D48+'National Heritage'!D48+Reliance!D48+'Standard Life IN'!D48+Villanova!D48</f>
        <v>-794.76135852473817</v>
      </c>
      <c r="E48" s="3">
        <f>+'Andrew Jackson'!E48+Benicorp!E48+Centennial!E48+'Family Guaranty'!E48+'Farmers &amp; Ranchers'!E48+'First Natl (Thrnr)'!E48+'Franklin American'!E48+'Franklin Protective'!E48+'Golden State'!E48+'International Fin'!E48+'Investors Equity'!E48+Legion!E48+Lumbermens!E48+'National Heritage'!E48+Reliance!E48+'Standard Life IN'!E48+Villanova!E48</f>
        <v>0</v>
      </c>
      <c r="F48" s="3">
        <f t="shared" si="1"/>
        <v>53812.658281271768</v>
      </c>
    </row>
    <row r="49" spans="1:6">
      <c r="A49" t="s">
        <v>43</v>
      </c>
      <c r="B49" s="3">
        <f>+'Andrew Jackson'!B49+Benicorp!B49+Centennial!B49+'Family Guaranty'!B49+'Farmers &amp; Ranchers'!B49+'First Natl (Thrnr)'!B49+'Franklin American'!B49+'Franklin Protective'!B49+'Golden State'!B49+'International Fin'!B49+'Investors Equity'!B49+Legion!B49+Lumbermens!B49+'National Heritage'!B49+Reliance!B49+'Standard Life IN'!B49+Villanova!B49</f>
        <v>4388831.3296538014</v>
      </c>
      <c r="C49" s="3">
        <f>+'Andrew Jackson'!C49+Benicorp!C49+Centennial!C49+'Family Guaranty'!C49+'Farmers &amp; Ranchers'!C49+'First Natl (Thrnr)'!C49+'Franklin American'!C49+'Franklin Protective'!C49+'Golden State'!C49+'International Fin'!C49+'Investors Equity'!C49+Legion!C49+Lumbermens!C49+'National Heritage'!C49+Reliance!C49+'Standard Life IN'!C49+Villanova!C49</f>
        <v>9812576.843595149</v>
      </c>
      <c r="D49" s="3">
        <f>+'Andrew Jackson'!D49+Benicorp!D49+Centennial!D49+'Family Guaranty'!D49+'Farmers &amp; Ranchers'!D49+'First Natl (Thrnr)'!D49+'Franklin American'!D49+'Franklin Protective'!D49+'Golden State'!D49+'International Fin'!D49+'Investors Equity'!D49+Legion!D49+Lumbermens!D49+'National Heritage'!D49+Reliance!D49+'Standard Life IN'!D49+Villanova!D49</f>
        <v>2121436.3731336566</v>
      </c>
      <c r="E49" s="3">
        <f>+'Andrew Jackson'!E49+Benicorp!E49+Centennial!E49+'Family Guaranty'!E49+'Farmers &amp; Ranchers'!E49+'First Natl (Thrnr)'!E49+'Franklin American'!E49+'Franklin Protective'!E49+'Golden State'!E49+'International Fin'!E49+'Investors Equity'!E49+Legion!E49+Lumbermens!E49+'National Heritage'!E49+Reliance!E49+'Standard Life IN'!E49+Villanova!E49</f>
        <v>0</v>
      </c>
      <c r="F49" s="3">
        <f t="shared" si="1"/>
        <v>16322844.546382606</v>
      </c>
    </row>
    <row r="50" spans="1:6">
      <c r="A50" t="s">
        <v>44</v>
      </c>
      <c r="B50" s="3">
        <f>+'Andrew Jackson'!B50+Benicorp!B50+Centennial!B50+'Family Guaranty'!B50+'Farmers &amp; Ranchers'!B50+'First Natl (Thrnr)'!B50+'Franklin American'!B50+'Franklin Protective'!B50+'Golden State'!B50+'International Fin'!B50+'Investors Equity'!B50+Legion!B50+Lumbermens!B50+'National Heritage'!B50+Reliance!B50+'Standard Life IN'!B50+Villanova!B50</f>
        <v>2960572.0111229038</v>
      </c>
      <c r="C50" s="3">
        <f>+'Andrew Jackson'!C50+Benicorp!C50+Centennial!C50+'Family Guaranty'!C50+'Farmers &amp; Ranchers'!C50+'First Natl (Thrnr)'!C50+'Franklin American'!C50+'Franklin Protective'!C50+'Golden State'!C50+'International Fin'!C50+'Investors Equity'!C50+Legion!C50+Lumbermens!C50+'National Heritage'!C50+Reliance!C50+'Standard Life IN'!C50+Villanova!C50</f>
        <v>27666815.237587687</v>
      </c>
      <c r="D50" s="3">
        <f>+'Andrew Jackson'!D50+Benicorp!D50+Centennial!D50+'Family Guaranty'!D50+'Farmers &amp; Ranchers'!D50+'First Natl (Thrnr)'!D50+'Franklin American'!D50+'Franklin Protective'!D50+'Golden State'!D50+'International Fin'!D50+'Investors Equity'!D50+Legion!D50+Lumbermens!D50+'National Heritage'!D50+Reliance!D50+'Standard Life IN'!D50+Villanova!D50</f>
        <v>2499601.1899318323</v>
      </c>
      <c r="E50" s="3">
        <f>+'Andrew Jackson'!E50+Benicorp!E50+Centennial!E50+'Family Guaranty'!E50+'Farmers &amp; Ranchers'!E50+'First Natl (Thrnr)'!E50+'Franklin American'!E50+'Franklin Protective'!E50+'Golden State'!E50+'International Fin'!E50+'Investors Equity'!E50+Legion!E50+Lumbermens!E50+'National Heritage'!E50+Reliance!E50+'Standard Life IN'!E50+Villanova!E50</f>
        <v>0</v>
      </c>
      <c r="F50" s="3">
        <f t="shared" si="1"/>
        <v>33126988.438642424</v>
      </c>
    </row>
    <row r="51" spans="1:6">
      <c r="A51" t="s">
        <v>45</v>
      </c>
      <c r="B51" s="3">
        <f>+'Andrew Jackson'!B51+Benicorp!B51+Centennial!B51+'Family Guaranty'!B51+'Farmers &amp; Ranchers'!B51+'First Natl (Thrnr)'!B51+'Franklin American'!B51+'Franklin Protective'!B51+'Golden State'!B51+'International Fin'!B51+'Investors Equity'!B51+Legion!B51+Lumbermens!B51+'National Heritage'!B51+Reliance!B51+'Standard Life IN'!B51+Villanova!B51</f>
        <v>3162.2075209681871</v>
      </c>
      <c r="C51" s="3">
        <f>+'Andrew Jackson'!C51+Benicorp!C51+Centennial!C51+'Family Guaranty'!C51+'Farmers &amp; Ranchers'!C51+'First Natl (Thrnr)'!C51+'Franklin American'!C51+'Franklin Protective'!C51+'Golden State'!C51+'International Fin'!C51+'Investors Equity'!C51+Legion!C51+Lumbermens!C51+'National Heritage'!C51+Reliance!C51+'Standard Life IN'!C51+Villanova!C51</f>
        <v>18398.168359218398</v>
      </c>
      <c r="D51" s="3">
        <f>+'Andrew Jackson'!D51+Benicorp!D51+Centennial!D51+'Family Guaranty'!D51+'Farmers &amp; Ranchers'!D51+'First Natl (Thrnr)'!D51+'Franklin American'!D51+'Franklin Protective'!D51+'Golden State'!D51+'International Fin'!D51+'Investors Equity'!D51+Legion!D51+Lumbermens!D51+'National Heritage'!D51+Reliance!D51+'Standard Life IN'!D51+Villanova!D51</f>
        <v>119407.83847230661</v>
      </c>
      <c r="E51" s="3">
        <f>+'Andrew Jackson'!E51+Benicorp!E51+Centennial!E51+'Family Guaranty'!E51+'Farmers &amp; Ranchers'!E51+'First Natl (Thrnr)'!E51+'Franklin American'!E51+'Franklin Protective'!E51+'Golden State'!E51+'International Fin'!E51+'Investors Equity'!E51+Legion!E51+Lumbermens!E51+'National Heritage'!E51+Reliance!E51+'Standard Life IN'!E51+Villanova!E51</f>
        <v>0</v>
      </c>
      <c r="F51" s="3">
        <f t="shared" si="1"/>
        <v>140968.2143524932</v>
      </c>
    </row>
    <row r="52" spans="1:6">
      <c r="A52" t="s">
        <v>46</v>
      </c>
      <c r="B52" s="3">
        <f>+'Andrew Jackson'!B52+Benicorp!B52+Centennial!B52+'Family Guaranty'!B52+'Farmers &amp; Ranchers'!B52+'First Natl (Thrnr)'!B52+'Franklin American'!B52+'Franklin Protective'!B52+'Golden State'!B52+'International Fin'!B52+'Investors Equity'!B52+Legion!B52+Lumbermens!B52+'National Heritage'!B52+Reliance!B52+'Standard Life IN'!B52+Villanova!B52</f>
        <v>6861.8580955970765</v>
      </c>
      <c r="C52" s="3">
        <f>+'Andrew Jackson'!C52+Benicorp!C52+Centennial!C52+'Family Guaranty'!C52+'Farmers &amp; Ranchers'!C52+'First Natl (Thrnr)'!C52+'Franklin American'!C52+'Franklin Protective'!C52+'Golden State'!C52+'International Fin'!C52+'Investors Equity'!C52+Legion!C52+Lumbermens!C52+'National Heritage'!C52+Reliance!C52+'Standard Life IN'!C52+Villanova!C52</f>
        <v>356.46434295751982</v>
      </c>
      <c r="D52" s="3">
        <f>+'Andrew Jackson'!D52+Benicorp!D52+Centennial!D52+'Family Guaranty'!D52+'Farmers &amp; Ranchers'!D52+'First Natl (Thrnr)'!D52+'Franklin American'!D52+'Franklin Protective'!D52+'Golden State'!D52+'International Fin'!D52+'Investors Equity'!D52+Legion!D52+Lumbermens!D52+'National Heritage'!D52+Reliance!D52+'Standard Life IN'!D52+Villanova!D52</f>
        <v>27421.503477587197</v>
      </c>
      <c r="E52" s="3">
        <f>+'Andrew Jackson'!E52+Benicorp!E52+Centennial!E52+'Family Guaranty'!E52+'Farmers &amp; Ranchers'!E52+'First Natl (Thrnr)'!E52+'Franklin American'!E52+'Franklin Protective'!E52+'Golden State'!E52+'International Fin'!E52+'Investors Equity'!E52+Legion!E52+Lumbermens!E52+'National Heritage'!E52+Reliance!E52+'Standard Life IN'!E52+Villanova!E52</f>
        <v>0</v>
      </c>
      <c r="F52" s="3">
        <f t="shared" si="1"/>
        <v>34639.825916141795</v>
      </c>
    </row>
    <row r="53" spans="1:6">
      <c r="A53" t="s">
        <v>47</v>
      </c>
      <c r="B53" s="3">
        <f>+'Andrew Jackson'!B53+Benicorp!B53+Centennial!B53+'Family Guaranty'!B53+'Farmers &amp; Ranchers'!B53+'First Natl (Thrnr)'!B53+'Franklin American'!B53+'Franklin Protective'!B53+'Golden State'!B53+'International Fin'!B53+'Investors Equity'!B53+Legion!B53+Lumbermens!B53+'National Heritage'!B53+Reliance!B53+'Standard Life IN'!B53+Villanova!B53</f>
        <v>178808.50963958472</v>
      </c>
      <c r="C53" s="3">
        <f>+'Andrew Jackson'!C53+Benicorp!C53+Centennial!C53+'Family Guaranty'!C53+'Farmers &amp; Ranchers'!C53+'First Natl (Thrnr)'!C53+'Franklin American'!C53+'Franklin Protective'!C53+'Golden State'!C53+'International Fin'!C53+'Investors Equity'!C53+Legion!C53+Lumbermens!C53+'National Heritage'!C53+Reliance!C53+'Standard Life IN'!C53+Villanova!C53</f>
        <v>1256679.3804773027</v>
      </c>
      <c r="D53" s="3">
        <f>+'Andrew Jackson'!D53+Benicorp!D53+Centennial!D53+'Family Guaranty'!D53+'Farmers &amp; Ranchers'!D53+'First Natl (Thrnr)'!D53+'Franklin American'!D53+'Franklin Protective'!D53+'Golden State'!D53+'International Fin'!D53+'Investors Equity'!D53+Legion!D53+Lumbermens!D53+'National Heritage'!D53+Reliance!D53+'Standard Life IN'!D53+Villanova!D53</f>
        <v>322903.64364214806</v>
      </c>
      <c r="E53" s="3">
        <f>+'Andrew Jackson'!E53+Benicorp!E53+Centennial!E53+'Family Guaranty'!E53+'Farmers &amp; Ranchers'!E53+'First Natl (Thrnr)'!E53+'Franklin American'!E53+'Franklin Protective'!E53+'Golden State'!E53+'International Fin'!E53+'Investors Equity'!E53+Legion!E53+Lumbermens!E53+'National Heritage'!E53+Reliance!E53+'Standard Life IN'!E53+Villanova!E53</f>
        <v>0</v>
      </c>
      <c r="F53" s="3">
        <f t="shared" si="1"/>
        <v>1758391.5337590354</v>
      </c>
    </row>
    <row r="54" spans="1:6">
      <c r="A54" t="s">
        <v>48</v>
      </c>
      <c r="B54" s="3">
        <f>+'Andrew Jackson'!B54+Benicorp!B54+Centennial!B54+'Family Guaranty'!B54+'Farmers &amp; Ranchers'!B54+'First Natl (Thrnr)'!B54+'Franklin American'!B54+'Franklin Protective'!B54+'Golden State'!B54+'International Fin'!B54+'Investors Equity'!B54+Legion!B54+Lumbermens!B54+'National Heritage'!B54+Reliance!B54+'Standard Life IN'!B54+Villanova!B54</f>
        <v>38509.534693364389</v>
      </c>
      <c r="C54" s="3">
        <f>+'Andrew Jackson'!C54+Benicorp!C54+Centennial!C54+'Family Guaranty'!C54+'Farmers &amp; Ranchers'!C54+'First Natl (Thrnr)'!C54+'Franklin American'!C54+'Franklin Protective'!C54+'Golden State'!C54+'International Fin'!C54+'Investors Equity'!C54+Legion!C54+Lumbermens!C54+'National Heritage'!C54+Reliance!C54+'Standard Life IN'!C54+Villanova!C54</f>
        <v>286139.80418003263</v>
      </c>
      <c r="D54" s="3">
        <f>+'Andrew Jackson'!D54+Benicorp!D54+Centennial!D54+'Family Guaranty'!D54+'Farmers &amp; Ranchers'!D54+'First Natl (Thrnr)'!D54+'Franklin American'!D54+'Franklin Protective'!D54+'Golden State'!D54+'International Fin'!D54+'Investors Equity'!D54+Legion!D54+Lumbermens!D54+'National Heritage'!D54+Reliance!D54+'Standard Life IN'!D54+Villanova!D54</f>
        <v>1106150.9810580022</v>
      </c>
      <c r="E54" s="3">
        <f>+'Andrew Jackson'!E54+Benicorp!E54+Centennial!E54+'Family Guaranty'!E54+'Farmers &amp; Ranchers'!E54+'First Natl (Thrnr)'!E54+'Franklin American'!E54+'Franklin Protective'!E54+'Golden State'!E54+'International Fin'!E54+'Investors Equity'!E54+Legion!E54+Lumbermens!E54+'National Heritage'!E54+Reliance!E54+'Standard Life IN'!E54+Villanova!E54</f>
        <v>0</v>
      </c>
      <c r="F54" s="3">
        <f t="shared" si="1"/>
        <v>1430800.3199313993</v>
      </c>
    </row>
    <row r="55" spans="1:6">
      <c r="A55" t="s">
        <v>49</v>
      </c>
      <c r="B55" s="3">
        <f>+'Andrew Jackson'!B55+Benicorp!B55+Centennial!B55+'Family Guaranty'!B55+'Farmers &amp; Ranchers'!B55+'First Natl (Thrnr)'!B55+'Franklin American'!B55+'Franklin Protective'!B55+'Golden State'!B55+'International Fin'!B55+'Investors Equity'!B55+Legion!B55+Lumbermens!B55+'National Heritage'!B55+Reliance!B55+'Standard Life IN'!B55+Villanova!B55</f>
        <v>91925.393011757376</v>
      </c>
      <c r="C55" s="3">
        <f>+'Andrew Jackson'!C55+Benicorp!C55+Centennial!C55+'Family Guaranty'!C55+'Farmers &amp; Ranchers'!C55+'First Natl (Thrnr)'!C55+'Franklin American'!C55+'Franklin Protective'!C55+'Golden State'!C55+'International Fin'!C55+'Investors Equity'!C55+Legion!C55+Lumbermens!C55+'National Heritage'!C55+Reliance!C55+'Standard Life IN'!C55+Villanova!C55</f>
        <v>1595532.3400263726</v>
      </c>
      <c r="D55" s="3">
        <f>+'Andrew Jackson'!D55+Benicorp!D55+Centennial!D55+'Family Guaranty'!D55+'Farmers &amp; Ranchers'!D55+'First Natl (Thrnr)'!D55+'Franklin American'!D55+'Franklin Protective'!D55+'Golden State'!D55+'International Fin'!D55+'Investors Equity'!D55+Legion!D55+Lumbermens!D55+'National Heritage'!D55+Reliance!D55+'Standard Life IN'!D55+Villanova!D55</f>
        <v>48278.574772753374</v>
      </c>
      <c r="E55" s="3">
        <f>+'Andrew Jackson'!E55+Benicorp!E55+Centennial!E55+'Family Guaranty'!E55+'Farmers &amp; Ranchers'!E55+'First Natl (Thrnr)'!E55+'Franklin American'!E55+'Franklin Protective'!E55+'Golden State'!E55+'International Fin'!E55+'Investors Equity'!E55+Legion!E55+Lumbermens!E55+'National Heritage'!E55+Reliance!E55+'Standard Life IN'!E55+Villanova!E55</f>
        <v>0</v>
      </c>
      <c r="F55" s="3">
        <f t="shared" si="1"/>
        <v>1735736.3078108833</v>
      </c>
    </row>
    <row r="56" spans="1:6">
      <c r="A56" t="s">
        <v>50</v>
      </c>
      <c r="B56" s="3">
        <f>+'Andrew Jackson'!B56+Benicorp!B56+Centennial!B56+'Family Guaranty'!B56+'Farmers &amp; Ranchers'!B56+'First Natl (Thrnr)'!B56+'Franklin American'!B56+'Franklin Protective'!B56+'Golden State'!B56+'International Fin'!B56+'Investors Equity'!B56+Legion!B56+Lumbermens!B56+'National Heritage'!B56+Reliance!B56+'Standard Life IN'!B56+Villanova!B56</f>
        <v>3600.9289214839187</v>
      </c>
      <c r="C56" s="3">
        <f>+'Andrew Jackson'!C56+Benicorp!C56+Centennial!C56+'Family Guaranty'!C56+'Farmers &amp; Ranchers'!C56+'First Natl (Thrnr)'!C56+'Franklin American'!C56+'Franklin Protective'!C56+'Golden State'!C56+'International Fin'!C56+'Investors Equity'!C56+Legion!C56+Lumbermens!C56+'National Heritage'!C56+Reliance!C56+'Standard Life IN'!C56+Villanova!C56</f>
        <v>86275.385343395465</v>
      </c>
      <c r="D56" s="3">
        <f>+'Andrew Jackson'!D56+Benicorp!D56+Centennial!D56+'Family Guaranty'!D56+'Farmers &amp; Ranchers'!D56+'First Natl (Thrnr)'!D56+'Franklin American'!D56+'Franklin Protective'!D56+'Golden State'!D56+'International Fin'!D56+'Investors Equity'!D56+Legion!D56+Lumbermens!D56+'National Heritage'!D56+Reliance!D56+'Standard Life IN'!D56+Villanova!D56</f>
        <v>480557.57291340665</v>
      </c>
      <c r="E56" s="3">
        <f>+'Andrew Jackson'!E56+Benicorp!E56+Centennial!E56+'Family Guaranty'!E56+'Farmers &amp; Ranchers'!E56+'First Natl (Thrnr)'!E56+'Franklin American'!E56+'Franklin Protective'!E56+'Golden State'!E56+'International Fin'!E56+'Investors Equity'!E56+Legion!E56+Lumbermens!E56+'National Heritage'!E56+Reliance!E56+'Standard Life IN'!E56+Villanova!E56</f>
        <v>0</v>
      </c>
      <c r="F56" s="3">
        <f t="shared" si="1"/>
        <v>570433.88717828598</v>
      </c>
    </row>
    <row r="57" spans="1:6">
      <c r="A57" t="s">
        <v>51</v>
      </c>
      <c r="B57" s="3">
        <f>+'Andrew Jackson'!B57+Benicorp!B57+Centennial!B57+'Family Guaranty'!B57+'Farmers &amp; Ranchers'!B57+'First Natl (Thrnr)'!B57+'Franklin American'!B57+'Franklin Protective'!B57+'Golden State'!B57+'International Fin'!B57+'Investors Equity'!B57+Legion!B57+Lumbermens!B57+'National Heritage'!B57+Reliance!B57+'Standard Life IN'!B57+Villanova!B57</f>
        <v>0</v>
      </c>
      <c r="C57" s="3">
        <f>+'Andrew Jackson'!C57+Benicorp!C57+Centennial!C57+'Family Guaranty'!C57+'Farmers &amp; Ranchers'!C57+'First Natl (Thrnr)'!C57+'Franklin American'!C57+'Franklin Protective'!C57+'Golden State'!C57+'International Fin'!C57+'Investors Equity'!C57+Legion!C57+Lumbermens!C57+'National Heritage'!C57+Reliance!C57+'Standard Life IN'!C57+Villanova!C57</f>
        <v>2169.720323617441</v>
      </c>
      <c r="D57" s="3">
        <f>+'Andrew Jackson'!D57+Benicorp!D57+Centennial!D57+'Family Guaranty'!D57+'Farmers &amp; Ranchers'!D57+'First Natl (Thrnr)'!D57+'Franklin American'!D57+'Franklin Protective'!D57+'Golden State'!D57+'International Fin'!D57+'Investors Equity'!D57+Legion!D57+Lumbermens!D57+'National Heritage'!D57+Reliance!D57+'Standard Life IN'!D57+Villanova!D57</f>
        <v>176649.91219039419</v>
      </c>
      <c r="E57" s="3">
        <f>+'Andrew Jackson'!E57+Benicorp!E57+Centennial!E57+'Family Guaranty'!E57+'Farmers &amp; Ranchers'!E57+'First Natl (Thrnr)'!E57+'Franklin American'!E57+'Franklin Protective'!E57+'Golden State'!E57+'International Fin'!E57+'Investors Equity'!E57+Legion!E57+Lumbermens!E57+'National Heritage'!E57+Reliance!E57+'Standard Life IN'!E57+Villanova!E57</f>
        <v>0</v>
      </c>
      <c r="F57" s="3">
        <f t="shared" si="1"/>
        <v>178819.63251401164</v>
      </c>
    </row>
    <row r="58" spans="1:6">
      <c r="A58" t="s">
        <v>52</v>
      </c>
      <c r="B58" s="3">
        <f>+'Andrew Jackson'!B58+Benicorp!B58+Centennial!B58+'Family Guaranty'!B58+'Farmers &amp; Ranchers'!B58+'First Natl (Thrnr)'!B58+'Franklin American'!B58+'Franklin Protective'!B58+'Golden State'!B58+'International Fin'!B58+'Investors Equity'!B58+Legion!B58+Lumbermens!B58+'National Heritage'!B58+Reliance!B58+'Standard Life IN'!B58+Villanova!B58</f>
        <v>1</v>
      </c>
      <c r="C58" s="3">
        <f>+'Andrew Jackson'!C58+Benicorp!C58+Centennial!C58+'Family Guaranty'!C58+'Farmers &amp; Ranchers'!C58+'First Natl (Thrnr)'!C58+'Franklin American'!C58+'Franklin Protective'!C58+'Golden State'!C58+'International Fin'!C58+'Investors Equity'!C58+Legion!C58+Lumbermens!C58+'National Heritage'!C58+Reliance!C58+'Standard Life IN'!C58+Villanova!C58</f>
        <v>0</v>
      </c>
      <c r="D58" s="3">
        <f>+'Andrew Jackson'!D58+Benicorp!D58+Centennial!D58+'Family Guaranty'!D58+'Farmers &amp; Ranchers'!D58+'First Natl (Thrnr)'!D58+'Franklin American'!D58+'Franklin Protective'!D58+'Golden State'!D58+'International Fin'!D58+'Investors Equity'!D58+Legion!D58+Lumbermens!D58+'National Heritage'!D58+Reliance!D58+'Standard Life IN'!D58+Villanova!D58</f>
        <v>15597.824169503394</v>
      </c>
      <c r="E58" s="3">
        <f>+'Andrew Jackson'!E58+Benicorp!E58+Centennial!E58+'Family Guaranty'!E58+'Farmers &amp; Ranchers'!E58+'First Natl (Thrnr)'!E58+'Franklin American'!E58+'Franklin Protective'!E58+'Golden State'!E58+'International Fin'!E58+'Investors Equity'!E58+Legion!E58+Lumbermens!E58+'National Heritage'!E58+Reliance!E58+'Standard Life IN'!E58+Villanova!E58</f>
        <v>0</v>
      </c>
      <c r="F58" s="3">
        <f t="shared" si="1"/>
        <v>15598.824169503394</v>
      </c>
    </row>
    <row r="59" spans="1:6">
      <c r="B59" s="3"/>
      <c r="C59" s="3"/>
      <c r="D59" s="3"/>
      <c r="E59" s="3"/>
      <c r="F59" s="3"/>
    </row>
    <row r="60" spans="1:6">
      <c r="A60" t="s">
        <v>59</v>
      </c>
      <c r="B60" s="3">
        <f t="shared" ref="B60:F60" si="2">SUM(B6:B58)</f>
        <v>77737216.6722866</v>
      </c>
      <c r="C60" s="3">
        <f t="shared" si="2"/>
        <v>207739665.50917596</v>
      </c>
      <c r="D60" s="3">
        <f t="shared" si="2"/>
        <v>59682346.659300007</v>
      </c>
      <c r="E60" s="3">
        <f t="shared" si="2"/>
        <v>0</v>
      </c>
      <c r="F60" s="3">
        <f t="shared" si="2"/>
        <v>345159228.84076256</v>
      </c>
    </row>
    <row r="62" spans="1:6">
      <c r="A62" s="139" t="s">
        <v>167</v>
      </c>
      <c r="B62" s="139"/>
      <c r="C62" s="139"/>
      <c r="D62" s="139"/>
      <c r="E62" s="139"/>
      <c r="F62" s="139"/>
    </row>
    <row r="63" spans="1:6">
      <c r="A63" t="s">
        <v>257</v>
      </c>
      <c r="B63" s="139" t="s">
        <v>216</v>
      </c>
      <c r="C63" s="139"/>
      <c r="D63" s="139"/>
      <c r="E63" s="139"/>
      <c r="F63" s="139"/>
    </row>
    <row r="65" spans="1:6">
      <c r="A65" t="s">
        <v>59</v>
      </c>
      <c r="B65" s="3">
        <f>SUM(B60:B64)</f>
        <v>77737216.6722866</v>
      </c>
      <c r="C65" s="3">
        <f>SUM(C60:C64)</f>
        <v>207739665.50917596</v>
      </c>
      <c r="D65" s="3">
        <f>SUM(D60:D64)</f>
        <v>59682346.659300007</v>
      </c>
      <c r="E65" s="3">
        <f>SUM(E60:E64)</f>
        <v>0</v>
      </c>
      <c r="F65" s="3">
        <f>SUM(F60:F64)</f>
        <v>345159228.84076256</v>
      </c>
    </row>
    <row r="69" spans="1:6">
      <c r="A69" t="s">
        <v>181</v>
      </c>
      <c r="B69" s="3">
        <f>+Summary!H51</f>
        <v>77737216.67228657</v>
      </c>
      <c r="C69" s="3">
        <f>+Summary!I51</f>
        <v>207739665.5091759</v>
      </c>
      <c r="D69" s="3">
        <f>+Summary!J51</f>
        <v>59682346.659300007</v>
      </c>
      <c r="E69" s="3">
        <f>+Summary!K51</f>
        <v>0</v>
      </c>
      <c r="F69" s="3">
        <f>+Summary!L51</f>
        <v>345159228.8407625</v>
      </c>
    </row>
    <row r="70" spans="1:6">
      <c r="B70" s="3">
        <f>+B65-B69</f>
        <v>0</v>
      </c>
      <c r="C70" s="3">
        <f>+C65-C69</f>
        <v>0</v>
      </c>
      <c r="D70" s="3">
        <f>+D65-D69</f>
        <v>0</v>
      </c>
      <c r="E70" s="3">
        <f>+E65-E69</f>
        <v>0</v>
      </c>
      <c r="F70" s="3">
        <f>+F65-F69</f>
        <v>0</v>
      </c>
    </row>
  </sheetData>
  <mergeCells count="3">
    <mergeCell ref="A62:F62"/>
    <mergeCell ref="B63:F63"/>
    <mergeCell ref="A1:F1"/>
  </mergeCells>
  <printOptions horizontalCentered="1" verticalCentered="1"/>
  <pageMargins left="0.25" right="0.25" top="0.75" bottom="0.75" header="0.4" footer="0.4"/>
  <pageSetup scale="51" orientation="landscape" r:id="rId1"/>
  <headerFooter>
    <oddHeader>&amp;L&amp;"Geneva,Bold"&amp;D 
&amp;F &amp;C&amp;"Geneva,Bold Italic"Closed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75" zoomScaleNormal="75" workbookViewId="0">
      <selection activeCell="C43" sqref="C43"/>
    </sheetView>
  </sheetViews>
  <sheetFormatPr defaultRowHeight="15"/>
  <cols>
    <col min="1" max="1" width="32.7109375" bestFit="1" customWidth="1"/>
    <col min="2" max="4" width="13.28515625" bestFit="1" customWidth="1"/>
    <col min="5" max="5" width="12.140625" bestFit="1" customWidth="1"/>
    <col min="6" max="6" width="13.28515625" bestFit="1" customWidth="1"/>
    <col min="7" max="7" width="2.7109375" customWidth="1"/>
    <col min="8" max="8" width="40.140625" bestFit="1" customWidth="1"/>
    <col min="9" max="9" width="13.28515625" bestFit="1" customWidth="1"/>
  </cols>
  <sheetData>
    <row r="1" spans="1:9">
      <c r="A1" s="156" t="s">
        <v>367</v>
      </c>
      <c r="B1" s="157"/>
      <c r="C1" s="157"/>
      <c r="D1" s="157"/>
      <c r="E1" s="157"/>
      <c r="F1" s="157"/>
    </row>
    <row r="3" spans="1:9">
      <c r="B3" s="51"/>
      <c r="C3" s="51" t="s">
        <v>184</v>
      </c>
      <c r="D3" s="51"/>
      <c r="E3" s="51" t="s">
        <v>185</v>
      </c>
      <c r="F3" s="51"/>
    </row>
    <row r="4" spans="1:9">
      <c r="B4" s="51" t="s">
        <v>55</v>
      </c>
      <c r="C4" s="51" t="s">
        <v>186</v>
      </c>
      <c r="D4" s="51" t="s">
        <v>57</v>
      </c>
      <c r="E4" s="51" t="s">
        <v>186</v>
      </c>
      <c r="F4" s="51" t="s">
        <v>59</v>
      </c>
    </row>
    <row r="6" spans="1:9">
      <c r="A6" t="s">
        <v>0</v>
      </c>
      <c r="B6" s="3">
        <f>+'Alabama Life'!B6+'American Chambers'!B6+'American Educators'!B6+'American Integrity'!B6+'Amer Life Asr'!B6+'Amer Std Life Acc'!B6+AmerWstrn!B6+'AMS Life'!B6+'Bankers Commercial'!B6+'Coastal States'!B6+'Confed Life (CLIC)'!B6+'Consolidated National'!B6+'Consumers United'!B6+'Corporate Life'!B6+'Diamond Benefits'!B6+'EBL Life'!B6+'Fidelity Bankers'!B6+'First Natl'!B6+'George Washington'!B6+'Guarantee Security'!B6+'Inter-American'!B6+'Investment Life of America'!B6+'Kentucky Central'!B6+'London Pac'!B6+'Midwest Life'!B6+'Mutual Benefit'!B6+'Mutual Security'!B6+'National Affiliated'!B6+'Natl American'!B6+'New Jersey Life'!B6+'Old Colony Life'!B6+'Old Faithful'!B6+'Pacific Standard'!B6+'States General'!B6+Statesman!B6+'Summit National'!B6+Supreme!B6+Underwriters!B6+Unison!B6+'United Republic'!B6+Universe!B6</f>
        <v>4251055.2222083993</v>
      </c>
      <c r="C6" s="3">
        <f>+'Alabama Life'!C6+'American Chambers'!C6+'American Educators'!C6+'American Integrity'!C6+'Amer Life Asr'!C6+'Amer Std Life Acc'!C6+AmerWstrn!C6+'AMS Life'!C6+'Bankers Commercial'!C6+'Coastal States'!C6+'Confed Life (CLIC)'!C6+'Consolidated National'!C6+'Consumers United'!C6+'Corporate Life'!C6+'Diamond Benefits'!C6+'EBL Life'!C6+'Fidelity Bankers'!C6+'First Natl'!C6+'George Washington'!C6+'Guarantee Security'!C6+'Inter-American'!C6+'Investment Life of America'!C6+'Kentucky Central'!C6+'London Pac'!C6+'Midwest Life'!C6+'Mutual Benefit'!C6+'Mutual Security'!C6+'National Affiliated'!C6+'Natl American'!C6+'New Jersey Life'!C6+'Old Colony Life'!C6+'Old Faithful'!C6+'Pacific Standard'!C6+'States General'!C6+Statesman!C6+'Summit National'!C6+Supreme!C6+Underwriters!C6+Unison!C6+'United Republic'!C6+Universe!C6</f>
        <v>8363673.6107826801</v>
      </c>
      <c r="D6" s="3">
        <f>+'Alabama Life'!D6+'American Chambers'!D6+'American Educators'!D6+'American Integrity'!D6+'Amer Life Asr'!D6+'Amer Std Life Acc'!D6+AmerWstrn!D6+'AMS Life'!D6+'Bankers Commercial'!D6+'Coastal States'!D6+'Confed Life (CLIC)'!D6+'Consolidated National'!D6+'Consumers United'!D6+'Corporate Life'!D6+'Diamond Benefits'!D6+'EBL Life'!D6+'Fidelity Bankers'!D6+'First Natl'!D6+'George Washington'!D6+'Guarantee Security'!D6+'Inter-American'!D6+'Investment Life of America'!D6+'Kentucky Central'!D6+'London Pac'!D6+'Midwest Life'!D6+'Mutual Benefit'!D6+'Mutual Security'!D6+'National Affiliated'!D6+'Natl American'!D6+'New Jersey Life'!D6+'Old Colony Life'!D6+'Old Faithful'!D6+'Pacific Standard'!D6+'States General'!D6+Statesman!D6+'Summit National'!D6+Supreme!D6+Underwriters!D6+Unison!D6+'United Republic'!D6+Universe!D6</f>
        <v>1619100.5171827038</v>
      </c>
      <c r="E6" s="3">
        <f>+'Alabama Life'!E6+'American Chambers'!E6+'American Educators'!E6+'American Integrity'!E6+'Amer Life Asr'!E6+'Amer Std Life Acc'!E6+AmerWstrn!E6+'AMS Life'!E6+'Bankers Commercial'!E6+'Coastal States'!E6+'Confed Life (CLIC)'!E6+'Consolidated National'!E6+'Consumers United'!E6+'Corporate Life'!E6+'Diamond Benefits'!E6+'EBL Life'!E6+'Fidelity Bankers'!E6+'First Natl'!E6+'George Washington'!E6+'Guarantee Security'!E6+'Inter-American'!E6+'Investment Life of America'!E6+'Kentucky Central'!E6+'London Pac'!E6+'Midwest Life'!E6+'Mutual Benefit'!E6+'Mutual Security'!E6+'National Affiliated'!E6+'Natl American'!E6+'New Jersey Life'!E6+'Old Colony Life'!E6+'Old Faithful'!E6+'Pacific Standard'!E6+'States General'!E6+Statesman!E6+'Summit National'!E6+Supreme!E6+Underwriters!E6+Unison!E6+'United Republic'!E6+Universe!E6</f>
        <v>0</v>
      </c>
      <c r="F6" s="3">
        <f t="shared" ref="F6:F37" si="0">SUM(B6:E6)</f>
        <v>14233829.350173783</v>
      </c>
      <c r="H6" t="s">
        <v>269</v>
      </c>
      <c r="I6" s="3">
        <f>+Summary!L55</f>
        <v>3310751.2766666668</v>
      </c>
    </row>
    <row r="7" spans="1:9">
      <c r="A7" t="s">
        <v>1</v>
      </c>
      <c r="B7" s="3">
        <f>+'Alabama Life'!B7+'American Chambers'!B7+'American Educators'!B7+'American Integrity'!B7+'Amer Life Asr'!B7+'Amer Std Life Acc'!B7+AmerWstrn!B7+'AMS Life'!B7+'Bankers Commercial'!B7+'Coastal States'!B7+'Confed Life (CLIC)'!B7+'Consolidated National'!B7+'Consumers United'!B7+'Corporate Life'!B7+'Diamond Benefits'!B7+'EBL Life'!B7+'Fidelity Bankers'!B7+'First Natl'!B7+'George Washington'!B7+'Guarantee Security'!B7+'Inter-American'!B7+'Investment Life of America'!B7+'Kentucky Central'!B7+'London Pac'!B7+'Midwest Life'!B7+'Mutual Benefit'!B7+'Mutual Security'!B7+'National Affiliated'!B7+'Natl American'!B7+'New Jersey Life'!B7+'Old Colony Life'!B7+'Old Faithful'!B7+'Pacific Standard'!B7+'States General'!B7+Statesman!B7+'Summit National'!B7+Supreme!B7+Underwriters!B7+Unison!B7+'United Republic'!B7+Universe!B7</f>
        <v>130745.54709711148</v>
      </c>
      <c r="C7" s="3">
        <f>+'Alabama Life'!C7+'American Chambers'!C7+'American Educators'!C7+'American Integrity'!C7+'Amer Life Asr'!C7+'Amer Std Life Acc'!C7+AmerWstrn!C7+'AMS Life'!C7+'Bankers Commercial'!C7+'Coastal States'!C7+'Confed Life (CLIC)'!C7+'Consolidated National'!C7+'Consumers United'!C7+'Corporate Life'!C7+'Diamond Benefits'!C7+'EBL Life'!C7+'Fidelity Bankers'!C7+'First Natl'!C7+'George Washington'!C7+'Guarantee Security'!C7+'Inter-American'!C7+'Investment Life of America'!C7+'Kentucky Central'!C7+'London Pac'!C7+'Midwest Life'!C7+'Mutual Benefit'!C7+'Mutual Security'!C7+'National Affiliated'!C7+'Natl American'!C7+'New Jersey Life'!C7+'Old Colony Life'!C7+'Old Faithful'!C7+'Pacific Standard'!C7+'States General'!C7+Statesman!C7+'Summit National'!C7+Supreme!C7+Underwriters!C7+Unison!C7+'United Republic'!C7+Universe!C7</f>
        <v>279829.54367070791</v>
      </c>
      <c r="D7" s="3">
        <f>+'Alabama Life'!D7+'American Chambers'!D7+'American Educators'!D7+'American Integrity'!D7+'Amer Life Asr'!D7+'Amer Std Life Acc'!D7+AmerWstrn!D7+'AMS Life'!D7+'Bankers Commercial'!D7+'Coastal States'!D7+'Confed Life (CLIC)'!D7+'Consolidated National'!D7+'Consumers United'!D7+'Corporate Life'!D7+'Diamond Benefits'!D7+'EBL Life'!D7+'Fidelity Bankers'!D7+'First Natl'!D7+'George Washington'!D7+'Guarantee Security'!D7+'Inter-American'!D7+'Investment Life of America'!D7+'Kentucky Central'!D7+'London Pac'!D7+'Midwest Life'!D7+'Mutual Benefit'!D7+'Mutual Security'!D7+'National Affiliated'!D7+'Natl American'!D7+'New Jersey Life'!D7+'Old Colony Life'!D7+'Old Faithful'!D7+'Pacific Standard'!D7+'States General'!D7+Statesman!D7+'Summit National'!D7+Supreme!D7+Underwriters!D7+Unison!D7+'United Republic'!D7+Universe!D7</f>
        <v>40975.952459329943</v>
      </c>
      <c r="E7" s="3">
        <f>+'Alabama Life'!E7+'American Chambers'!E7+'American Educators'!E7+'American Integrity'!E7+'Amer Life Asr'!E7+'Amer Std Life Acc'!E7+AmerWstrn!E7+'AMS Life'!E7+'Bankers Commercial'!E7+'Coastal States'!E7+'Confed Life (CLIC)'!E7+'Consolidated National'!E7+'Consumers United'!E7+'Corporate Life'!E7+'Diamond Benefits'!E7+'EBL Life'!E7+'Fidelity Bankers'!E7+'First Natl'!E7+'George Washington'!E7+'Guarantee Security'!E7+'Inter-American'!E7+'Investment Life of America'!E7+'Kentucky Central'!E7+'London Pac'!E7+'Midwest Life'!E7+'Mutual Benefit'!E7+'Mutual Security'!E7+'National Affiliated'!E7+'Natl American'!E7+'New Jersey Life'!E7+'Old Colony Life'!E7+'Old Faithful'!E7+'Pacific Standard'!E7+'States General'!E7+Statesman!E7+'Summit National'!E7+Supreme!E7+Underwriters!E7+Unison!E7+'United Republic'!E7+Universe!E7</f>
        <v>-511.67261149390833</v>
      </c>
      <c r="F7" s="3">
        <f t="shared" si="0"/>
        <v>451039.37061565538</v>
      </c>
      <c r="H7" t="s">
        <v>271</v>
      </c>
      <c r="I7" s="3">
        <f>+Summary!L56</f>
        <v>26432225.69463801</v>
      </c>
    </row>
    <row r="8" spans="1:9">
      <c r="A8" t="s">
        <v>2</v>
      </c>
      <c r="B8" s="3">
        <f>+'Alabama Life'!B8+'American Chambers'!B8+'American Educators'!B8+'American Integrity'!B8+'Amer Life Asr'!B8+'Amer Std Life Acc'!B8+AmerWstrn!B8+'AMS Life'!B8+'Bankers Commercial'!B8+'Coastal States'!B8+'Confed Life (CLIC)'!B8+'Consolidated National'!B8+'Consumers United'!B8+'Corporate Life'!B8+'Diamond Benefits'!B8+'EBL Life'!B8+'Fidelity Bankers'!B8+'First Natl'!B8+'George Washington'!B8+'Guarantee Security'!B8+'Inter-American'!B8+'Investment Life of America'!B8+'Kentucky Central'!B8+'London Pac'!B8+'Midwest Life'!B8+'Mutual Benefit'!B8+'Mutual Security'!B8+'National Affiliated'!B8+'Natl American'!B8+'New Jersey Life'!B8+'Old Colony Life'!B8+'Old Faithful'!B8+'Pacific Standard'!B8+'States General'!B8+Statesman!B8+'Summit National'!B8+Supreme!B8+Underwriters!B8+Unison!B8+'United Republic'!B8+Universe!B8</f>
        <v>4489738.4479916925</v>
      </c>
      <c r="C8" s="3">
        <f>+'Alabama Life'!C8+'American Chambers'!C8+'American Educators'!C8+'American Integrity'!C8+'Amer Life Asr'!C8+'Amer Std Life Acc'!C8+AmerWstrn!C8+'AMS Life'!C8+'Bankers Commercial'!C8+'Coastal States'!C8+'Confed Life (CLIC)'!C8+'Consolidated National'!C8+'Consumers United'!C8+'Corporate Life'!C8+'Diamond Benefits'!C8+'EBL Life'!C8+'Fidelity Bankers'!C8+'First Natl'!C8+'George Washington'!C8+'Guarantee Security'!C8+'Inter-American'!C8+'Investment Life of America'!C8+'Kentucky Central'!C8+'London Pac'!C8+'Midwest Life'!C8+'Mutual Benefit'!C8+'Mutual Security'!C8+'National Affiliated'!C8+'Natl American'!C8+'New Jersey Life'!C8+'Old Colony Life'!C8+'Old Faithful'!C8+'Pacific Standard'!C8+'States General'!C8+Statesman!C8+'Summit National'!C8+Supreme!C8+Underwriters!C8+Unison!C8+'United Republic'!C8+Universe!C8</f>
        <v>14768872.532823002</v>
      </c>
      <c r="D8" s="3">
        <f>+'Alabama Life'!D8+'American Chambers'!D8+'American Educators'!D8+'American Integrity'!D8+'Amer Life Asr'!D8+'Amer Std Life Acc'!D8+AmerWstrn!D8+'AMS Life'!D8+'Bankers Commercial'!D8+'Coastal States'!D8+'Confed Life (CLIC)'!D8+'Consolidated National'!D8+'Consumers United'!D8+'Corporate Life'!D8+'Diamond Benefits'!D8+'EBL Life'!D8+'Fidelity Bankers'!D8+'First Natl'!D8+'George Washington'!D8+'Guarantee Security'!D8+'Inter-American'!D8+'Investment Life of America'!D8+'Kentucky Central'!D8+'London Pac'!D8+'Midwest Life'!D8+'Mutual Benefit'!D8+'Mutual Security'!D8+'National Affiliated'!D8+'Natl American'!D8+'New Jersey Life'!D8+'Old Colony Life'!D8+'Old Faithful'!D8+'Pacific Standard'!D8+'States General'!D8+Statesman!D8+'Summit National'!D8+Supreme!D8+Underwriters!D8+Unison!D8+'United Republic'!D8+Universe!D8</f>
        <v>1321334.2296160578</v>
      </c>
      <c r="E8" s="3">
        <f>+'Alabama Life'!E8+'American Chambers'!E8+'American Educators'!E8+'American Integrity'!E8+'Amer Life Asr'!E8+'Amer Std Life Acc'!E8+AmerWstrn!E8+'AMS Life'!E8+'Bankers Commercial'!E8+'Coastal States'!E8+'Confed Life (CLIC)'!E8+'Consolidated National'!E8+'Consumers United'!E8+'Corporate Life'!E8+'Diamond Benefits'!E8+'EBL Life'!E8+'Fidelity Bankers'!E8+'First Natl'!E8+'George Washington'!E8+'Guarantee Security'!E8+'Inter-American'!E8+'Investment Life of America'!E8+'Kentucky Central'!E8+'London Pac'!E8+'Midwest Life'!E8+'Mutual Benefit'!E8+'Mutual Security'!E8+'National Affiliated'!E8+'Natl American'!E8+'New Jersey Life'!E8+'Old Colony Life'!E8+'Old Faithful'!E8+'Pacific Standard'!E8+'States General'!E8+Statesman!E8+'Summit National'!E8+Supreme!E8+Underwriters!E8+Unison!E8+'United Republic'!E8+Universe!E8</f>
        <v>0</v>
      </c>
      <c r="F8" s="3">
        <f t="shared" si="0"/>
        <v>20579945.210430752</v>
      </c>
      <c r="H8" t="s">
        <v>274</v>
      </c>
      <c r="I8" s="3">
        <f>+Summary!L57</f>
        <v>4926157.1166666672</v>
      </c>
    </row>
    <row r="9" spans="1:9">
      <c r="A9" t="s">
        <v>3</v>
      </c>
      <c r="B9" s="3">
        <f>+'Alabama Life'!B9+'American Chambers'!B9+'American Educators'!B9+'American Integrity'!B9+'Amer Life Asr'!B9+'Amer Std Life Acc'!B9+AmerWstrn!B9+'AMS Life'!B9+'Bankers Commercial'!B9+'Coastal States'!B9+'Confed Life (CLIC)'!B9+'Consolidated National'!B9+'Consumers United'!B9+'Corporate Life'!B9+'Diamond Benefits'!B9+'EBL Life'!B9+'Fidelity Bankers'!B9+'First Natl'!B9+'George Washington'!B9+'Guarantee Security'!B9+'Inter-American'!B9+'Investment Life of America'!B9+'Kentucky Central'!B9+'London Pac'!B9+'Midwest Life'!B9+'Mutual Benefit'!B9+'Mutual Security'!B9+'National Affiliated'!B9+'Natl American'!B9+'New Jersey Life'!B9+'Old Colony Life'!B9+'Old Faithful'!B9+'Pacific Standard'!B9+'States General'!B9+Statesman!B9+'Summit National'!B9+Supreme!B9+Underwriters!B9+Unison!B9+'United Republic'!B9+Universe!B9</f>
        <v>1756753.8000800989</v>
      </c>
      <c r="C9" s="3">
        <f>+'Alabama Life'!C9+'American Chambers'!C9+'American Educators'!C9+'American Integrity'!C9+'Amer Life Asr'!C9+'Amer Std Life Acc'!C9+AmerWstrn!C9+'AMS Life'!C9+'Bankers Commercial'!C9+'Coastal States'!C9+'Confed Life (CLIC)'!C9+'Consolidated National'!C9+'Consumers United'!C9+'Corporate Life'!C9+'Diamond Benefits'!C9+'EBL Life'!C9+'Fidelity Bankers'!C9+'First Natl'!C9+'George Washington'!C9+'Guarantee Security'!C9+'Inter-American'!C9+'Investment Life of America'!C9+'Kentucky Central'!C9+'London Pac'!C9+'Midwest Life'!C9+'Mutual Benefit'!C9+'Mutual Security'!C9+'National Affiliated'!C9+'Natl American'!C9+'New Jersey Life'!C9+'Old Colony Life'!C9+'Old Faithful'!C9+'Pacific Standard'!C9+'States General'!C9+Statesman!C9+'Summit National'!C9+Supreme!C9+Underwriters!C9+Unison!C9+'United Republic'!C9+Universe!C9</f>
        <v>2117149.0532615921</v>
      </c>
      <c r="D9" s="3">
        <f>+'Alabama Life'!D9+'American Chambers'!D9+'American Educators'!D9+'American Integrity'!D9+'Amer Life Asr'!D9+'Amer Std Life Acc'!D9+AmerWstrn!D9+'AMS Life'!D9+'Bankers Commercial'!D9+'Coastal States'!D9+'Confed Life (CLIC)'!D9+'Consolidated National'!D9+'Consumers United'!D9+'Corporate Life'!D9+'Diamond Benefits'!D9+'EBL Life'!D9+'Fidelity Bankers'!D9+'First Natl'!D9+'George Washington'!D9+'Guarantee Security'!D9+'Inter-American'!D9+'Investment Life of America'!D9+'Kentucky Central'!D9+'London Pac'!D9+'Midwest Life'!D9+'Mutual Benefit'!D9+'Mutual Security'!D9+'National Affiliated'!D9+'Natl American'!D9+'New Jersey Life'!D9+'Old Colony Life'!D9+'Old Faithful'!D9+'Pacific Standard'!D9+'States General'!D9+Statesman!D9+'Summit National'!D9+Supreme!D9+Underwriters!D9+Unison!D9+'United Republic'!D9+Universe!D9</f>
        <v>1515918.7345608494</v>
      </c>
      <c r="E9" s="3">
        <f>+'Alabama Life'!E9+'American Chambers'!E9+'American Educators'!E9+'American Integrity'!E9+'Amer Life Asr'!E9+'Amer Std Life Acc'!E9+AmerWstrn!E9+'AMS Life'!E9+'Bankers Commercial'!E9+'Coastal States'!E9+'Confed Life (CLIC)'!E9+'Consolidated National'!E9+'Consumers United'!E9+'Corporate Life'!E9+'Diamond Benefits'!E9+'EBL Life'!E9+'Fidelity Bankers'!E9+'First Natl'!E9+'George Washington'!E9+'Guarantee Security'!E9+'Inter-American'!E9+'Investment Life of America'!E9+'Kentucky Central'!E9+'London Pac'!E9+'Midwest Life'!E9+'Mutual Benefit'!E9+'Mutual Security'!E9+'National Affiliated'!E9+'Natl American'!E9+'New Jersey Life'!E9+'Old Colony Life'!E9+'Old Faithful'!E9+'Pacific Standard'!E9+'States General'!E9+Statesman!E9+'Summit National'!E9+Supreme!E9+Underwriters!E9+Unison!E9+'United Republic'!E9+Universe!E9</f>
        <v>4.9913488672981003</v>
      </c>
      <c r="F9" s="3">
        <f t="shared" si="0"/>
        <v>5389826.5792514076</v>
      </c>
      <c r="H9" t="s">
        <v>276</v>
      </c>
      <c r="I9" s="3">
        <f>+Summary!L58</f>
        <v>34231398.868000031</v>
      </c>
    </row>
    <row r="10" spans="1:9">
      <c r="A10" t="s">
        <v>4</v>
      </c>
      <c r="B10" s="3">
        <f>+'Alabama Life'!B10+'American Chambers'!B10+'American Educators'!B10+'American Integrity'!B10+'Amer Life Asr'!B10+'Amer Std Life Acc'!B10+AmerWstrn!B10+'AMS Life'!B10+'Bankers Commercial'!B10+'Coastal States'!B10+'Confed Life (CLIC)'!B10+'Consolidated National'!B10+'Consumers United'!B10+'Corporate Life'!B10+'Diamond Benefits'!B10+'EBL Life'!B10+'Fidelity Bankers'!B10+'First Natl'!B10+'George Washington'!B10+'Guarantee Security'!B10+'Inter-American'!B10+'Investment Life of America'!B10+'Kentucky Central'!B10+'London Pac'!B10+'Midwest Life'!B10+'Mutual Benefit'!B10+'Mutual Security'!B10+'National Affiliated'!B10+'Natl American'!B10+'New Jersey Life'!B10+'Old Colony Life'!B10+'Old Faithful'!B10+'Pacific Standard'!B10+'States General'!B10+Statesman!B10+'Summit National'!B10+Supreme!B10+Underwriters!B10+Unison!B10+'United Republic'!B10+Universe!B10</f>
        <v>17586435.250409443</v>
      </c>
      <c r="C10" s="3">
        <f>+'Alabama Life'!C10+'American Chambers'!C10+'American Educators'!C10+'American Integrity'!C10+'Amer Life Asr'!C10+'Amer Std Life Acc'!C10+AmerWstrn!C10+'AMS Life'!C10+'Bankers Commercial'!C10+'Coastal States'!C10+'Confed Life (CLIC)'!C10+'Consolidated National'!C10+'Consumers United'!C10+'Corporate Life'!C10+'Diamond Benefits'!C10+'EBL Life'!C10+'Fidelity Bankers'!C10+'First Natl'!C10+'George Washington'!C10+'Guarantee Security'!C10+'Inter-American'!C10+'Investment Life of America'!C10+'Kentucky Central'!C10+'London Pac'!C10+'Midwest Life'!C10+'Mutual Benefit'!C10+'Mutual Security'!C10+'National Affiliated'!C10+'Natl American'!C10+'New Jersey Life'!C10+'Old Colony Life'!C10+'Old Faithful'!C10+'Pacific Standard'!C10+'States General'!C10+Statesman!C10+'Summit National'!C10+Supreme!C10+Underwriters!C10+Unison!C10+'United Republic'!C10+Universe!C10</f>
        <v>20491152.071763132</v>
      </c>
      <c r="D10" s="3">
        <f>+'Alabama Life'!D10+'American Chambers'!D10+'American Educators'!D10+'American Integrity'!D10+'Amer Life Asr'!D10+'Amer Std Life Acc'!D10+AmerWstrn!D10+'AMS Life'!D10+'Bankers Commercial'!D10+'Coastal States'!D10+'Confed Life (CLIC)'!D10+'Consolidated National'!D10+'Consumers United'!D10+'Corporate Life'!D10+'Diamond Benefits'!D10+'EBL Life'!D10+'Fidelity Bankers'!D10+'First Natl'!D10+'George Washington'!D10+'Guarantee Security'!D10+'Inter-American'!D10+'Investment Life of America'!D10+'Kentucky Central'!D10+'London Pac'!D10+'Midwest Life'!D10+'Mutual Benefit'!D10+'Mutual Security'!D10+'National Affiliated'!D10+'Natl American'!D10+'New Jersey Life'!D10+'Old Colony Life'!D10+'Old Faithful'!D10+'Pacific Standard'!D10+'States General'!D10+Statesman!D10+'Summit National'!D10+Supreme!D10+Underwriters!D10+Unison!D10+'United Republic'!D10+Universe!D10</f>
        <v>5685475.1946522165</v>
      </c>
      <c r="E10" s="3">
        <f>+'Alabama Life'!E10+'American Chambers'!E10+'American Educators'!E10+'American Integrity'!E10+'Amer Life Asr'!E10+'Amer Std Life Acc'!E10+AmerWstrn!E10+'AMS Life'!E10+'Bankers Commercial'!E10+'Coastal States'!E10+'Confed Life (CLIC)'!E10+'Consolidated National'!E10+'Consumers United'!E10+'Corporate Life'!E10+'Diamond Benefits'!E10+'EBL Life'!E10+'Fidelity Bankers'!E10+'First Natl'!E10+'George Washington'!E10+'Guarantee Security'!E10+'Inter-American'!E10+'Investment Life of America'!E10+'Kentucky Central'!E10+'London Pac'!E10+'Midwest Life'!E10+'Mutual Benefit'!E10+'Mutual Security'!E10+'National Affiliated'!E10+'Natl American'!E10+'New Jersey Life'!E10+'Old Colony Life'!E10+'Old Faithful'!E10+'Pacific Standard'!E10+'States General'!E10+Statesman!E10+'Summit National'!E10+Supreme!E10+Underwriters!E10+Unison!E10+'United Republic'!E10+Universe!E10</f>
        <v>0</v>
      </c>
      <c r="F10" s="3">
        <f t="shared" si="0"/>
        <v>43763062.516824789</v>
      </c>
      <c r="H10" t="s">
        <v>278</v>
      </c>
      <c r="I10" s="3">
        <f>+Summary!L59</f>
        <v>5385425.4299999997</v>
      </c>
    </row>
    <row r="11" spans="1:9">
      <c r="A11" t="s">
        <v>5</v>
      </c>
      <c r="B11" s="3">
        <f>+'Alabama Life'!B11+'American Chambers'!B11+'American Educators'!B11+'American Integrity'!B11+'Amer Life Asr'!B11+'Amer Std Life Acc'!B11+AmerWstrn!B11+'AMS Life'!B11+'Bankers Commercial'!B11+'Coastal States'!B11+'Confed Life (CLIC)'!B11+'Consolidated National'!B11+'Consumers United'!B11+'Corporate Life'!B11+'Diamond Benefits'!B11+'EBL Life'!B11+'Fidelity Bankers'!B11+'First Natl'!B11+'George Washington'!B11+'Guarantee Security'!B11+'Inter-American'!B11+'Investment Life of America'!B11+'Kentucky Central'!B11+'London Pac'!B11+'Midwest Life'!B11+'Mutual Benefit'!B11+'Mutual Security'!B11+'National Affiliated'!B11+'Natl American'!B11+'New Jersey Life'!B11+'Old Colony Life'!B11+'Old Faithful'!B11+'Pacific Standard'!B11+'States General'!B11+Statesman!B11+'Summit National'!B11+Supreme!B11+Underwriters!B11+Unison!B11+'United Republic'!B11+Universe!B11</f>
        <v>419342.25096114428</v>
      </c>
      <c r="C11" s="3">
        <f>+'Alabama Life'!C11+'American Chambers'!C11+'American Educators'!C11+'American Integrity'!C11+'Amer Life Asr'!C11+'Amer Std Life Acc'!C11+AmerWstrn!C11+'AMS Life'!C11+'Bankers Commercial'!C11+'Coastal States'!C11+'Confed Life (CLIC)'!C11+'Consolidated National'!C11+'Consumers United'!C11+'Corporate Life'!C11+'Diamond Benefits'!C11+'EBL Life'!C11+'Fidelity Bankers'!C11+'First Natl'!C11+'George Washington'!C11+'Guarantee Security'!C11+'Inter-American'!C11+'Investment Life of America'!C11+'Kentucky Central'!C11+'London Pac'!C11+'Midwest Life'!C11+'Mutual Benefit'!C11+'Mutual Security'!C11+'National Affiliated'!C11+'Natl American'!C11+'New Jersey Life'!C11+'Old Colony Life'!C11+'Old Faithful'!C11+'Pacific Standard'!C11+'States General'!C11+Statesman!C11+'Summit National'!C11+Supreme!C11+Underwriters!C11+Unison!C11+'United Republic'!C11+Universe!C11</f>
        <v>6433489.3052727543</v>
      </c>
      <c r="D11" s="3">
        <f>+'Alabama Life'!D11+'American Chambers'!D11+'American Educators'!D11+'American Integrity'!D11+'Amer Life Asr'!D11+'Amer Std Life Acc'!D11+AmerWstrn!D11+'AMS Life'!D11+'Bankers Commercial'!D11+'Coastal States'!D11+'Confed Life (CLIC)'!D11+'Consolidated National'!D11+'Consumers United'!D11+'Corporate Life'!D11+'Diamond Benefits'!D11+'EBL Life'!D11+'Fidelity Bankers'!D11+'First Natl'!D11+'George Washington'!D11+'Guarantee Security'!D11+'Inter-American'!D11+'Investment Life of America'!D11+'Kentucky Central'!D11+'London Pac'!D11+'Midwest Life'!D11+'Mutual Benefit'!D11+'Mutual Security'!D11+'National Affiliated'!D11+'Natl American'!D11+'New Jersey Life'!D11+'Old Colony Life'!D11+'Old Faithful'!D11+'Pacific Standard'!D11+'States General'!D11+Statesman!D11+'Summit National'!D11+Supreme!D11+Underwriters!D11+Unison!D11+'United Republic'!D11+Universe!D11</f>
        <v>2584942.7086194153</v>
      </c>
      <c r="E11" s="3">
        <f>+'Alabama Life'!E11+'American Chambers'!E11+'American Educators'!E11+'American Integrity'!E11+'Amer Life Asr'!E11+'Amer Std Life Acc'!E11+AmerWstrn!E11+'AMS Life'!E11+'Bankers Commercial'!E11+'Coastal States'!E11+'Confed Life (CLIC)'!E11+'Consolidated National'!E11+'Consumers United'!E11+'Corporate Life'!E11+'Diamond Benefits'!E11+'EBL Life'!E11+'Fidelity Bankers'!E11+'First Natl'!E11+'George Washington'!E11+'Guarantee Security'!E11+'Inter-American'!E11+'Investment Life of America'!E11+'Kentucky Central'!E11+'London Pac'!E11+'Midwest Life'!E11+'Mutual Benefit'!E11+'Mutual Security'!E11+'National Affiliated'!E11+'Natl American'!E11+'New Jersey Life'!E11+'Old Colony Life'!E11+'Old Faithful'!E11+'Pacific Standard'!E11+'States General'!E11+Statesman!E11+'Summit National'!E11+Supreme!E11+Underwriters!E11+Unison!E11+'United Republic'!E11+Universe!E11</f>
        <v>0</v>
      </c>
      <c r="F11" s="3">
        <f t="shared" si="0"/>
        <v>9437774.2648533136</v>
      </c>
      <c r="H11" t="s">
        <v>280</v>
      </c>
      <c r="I11" s="3">
        <f>+Summary!L60</f>
        <v>8399590.3100000024</v>
      </c>
    </row>
    <row r="12" spans="1:9">
      <c r="A12" t="s">
        <v>6</v>
      </c>
      <c r="B12" s="3">
        <f>+'Alabama Life'!B12+'American Chambers'!B12+'American Educators'!B12+'American Integrity'!B12+'Amer Life Asr'!B12+'Amer Std Life Acc'!B12+AmerWstrn!B12+'AMS Life'!B12+'Bankers Commercial'!B12+'Coastal States'!B12+'Confed Life (CLIC)'!B12+'Consolidated National'!B12+'Consumers United'!B12+'Corporate Life'!B12+'Diamond Benefits'!B12+'EBL Life'!B12+'Fidelity Bankers'!B12+'First Natl'!B12+'George Washington'!B12+'Guarantee Security'!B12+'Inter-American'!B12+'Investment Life of America'!B12+'Kentucky Central'!B12+'London Pac'!B12+'Midwest Life'!B12+'Mutual Benefit'!B12+'Mutual Security'!B12+'National Affiliated'!B12+'Natl American'!B12+'New Jersey Life'!B12+'Old Colony Life'!B12+'Old Faithful'!B12+'Pacific Standard'!B12+'States General'!B12+Statesman!B12+'Summit National'!B12+Supreme!B12+Underwriters!B12+Unison!B12+'United Republic'!B12+Universe!B12</f>
        <v>-75146.281877293703</v>
      </c>
      <c r="C12" s="3">
        <f>+'Alabama Life'!C12+'American Chambers'!C12+'American Educators'!C12+'American Integrity'!C12+'Amer Life Asr'!C12+'Amer Std Life Acc'!C12+AmerWstrn!C12+'AMS Life'!C12+'Bankers Commercial'!C12+'Coastal States'!C12+'Confed Life (CLIC)'!C12+'Consolidated National'!C12+'Consumers United'!C12+'Corporate Life'!C12+'Diamond Benefits'!C12+'EBL Life'!C12+'Fidelity Bankers'!C12+'First Natl'!C12+'George Washington'!C12+'Guarantee Security'!C12+'Inter-American'!C12+'Investment Life of America'!C12+'Kentucky Central'!C12+'London Pac'!C12+'Midwest Life'!C12+'Mutual Benefit'!C12+'Mutual Security'!C12+'National Affiliated'!C12+'Natl American'!C12+'New Jersey Life'!C12+'Old Colony Life'!C12+'Old Faithful'!C12+'Pacific Standard'!C12+'States General'!C12+Statesman!C12+'Summit National'!C12+Supreme!C12+Underwriters!C12+Unison!C12+'United Republic'!C12+Universe!C12</f>
        <v>85410.398935122561</v>
      </c>
      <c r="D12" s="3">
        <f>+'Alabama Life'!D12+'American Chambers'!D12+'American Educators'!D12+'American Integrity'!D12+'Amer Life Asr'!D12+'Amer Std Life Acc'!D12+AmerWstrn!D12+'AMS Life'!D12+'Bankers Commercial'!D12+'Coastal States'!D12+'Confed Life (CLIC)'!D12+'Consolidated National'!D12+'Consumers United'!D12+'Corporate Life'!D12+'Diamond Benefits'!D12+'EBL Life'!D12+'Fidelity Bankers'!D12+'First Natl'!D12+'George Washington'!D12+'Guarantee Security'!D12+'Inter-American'!D12+'Investment Life of America'!D12+'Kentucky Central'!D12+'London Pac'!D12+'Midwest Life'!D12+'Mutual Benefit'!D12+'Mutual Security'!D12+'National Affiliated'!D12+'Natl American'!D12+'New Jersey Life'!D12+'Old Colony Life'!D12+'Old Faithful'!D12+'Pacific Standard'!D12+'States General'!D12+Statesman!D12+'Summit National'!D12+Supreme!D12+Underwriters!D12+Unison!D12+'United Republic'!D12+Universe!D12</f>
        <v>-1929.1040698347158</v>
      </c>
      <c r="E12" s="3">
        <f>+'Alabama Life'!E12+'American Chambers'!E12+'American Educators'!E12+'American Integrity'!E12+'Amer Life Asr'!E12+'Amer Std Life Acc'!E12+AmerWstrn!E12+'AMS Life'!E12+'Bankers Commercial'!E12+'Coastal States'!E12+'Confed Life (CLIC)'!E12+'Consolidated National'!E12+'Consumers United'!E12+'Corporate Life'!E12+'Diamond Benefits'!E12+'EBL Life'!E12+'Fidelity Bankers'!E12+'First Natl'!E12+'George Washington'!E12+'Guarantee Security'!E12+'Inter-American'!E12+'Investment Life of America'!E12+'Kentucky Central'!E12+'London Pac'!E12+'Midwest Life'!E12+'Mutual Benefit'!E12+'Mutual Security'!E12+'National Affiliated'!E12+'Natl American'!E12+'New Jersey Life'!E12+'Old Colony Life'!E12+'Old Faithful'!E12+'Pacific Standard'!E12+'States General'!E12+Statesman!E12+'Summit National'!E12+Supreme!E12+Underwriters!E12+Unison!E12+'United Republic'!E12+Universe!E12</f>
        <v>-1107.162412145206</v>
      </c>
      <c r="F12" s="3">
        <f t="shared" si="0"/>
        <v>7227.8505758489373</v>
      </c>
      <c r="H12" t="s">
        <v>282</v>
      </c>
      <c r="I12" s="3">
        <f>+Summary!L61</f>
        <v>-140613.04999999944</v>
      </c>
    </row>
    <row r="13" spans="1:9">
      <c r="A13" t="s">
        <v>7</v>
      </c>
      <c r="B13" s="3">
        <f>+'Alabama Life'!B13+'American Chambers'!B13+'American Educators'!B13+'American Integrity'!B13+'Amer Life Asr'!B13+'Amer Std Life Acc'!B13+AmerWstrn!B13+'AMS Life'!B13+'Bankers Commercial'!B13+'Coastal States'!B13+'Confed Life (CLIC)'!B13+'Consolidated National'!B13+'Consumers United'!B13+'Corporate Life'!B13+'Diamond Benefits'!B13+'EBL Life'!B13+'Fidelity Bankers'!B13+'First Natl'!B13+'George Washington'!B13+'Guarantee Security'!B13+'Inter-American'!B13+'Investment Life of America'!B13+'Kentucky Central'!B13+'London Pac'!B13+'Midwest Life'!B13+'Mutual Benefit'!B13+'Mutual Security'!B13+'National Affiliated'!B13+'Natl American'!B13+'New Jersey Life'!B13+'Old Colony Life'!B13+'Old Faithful'!B13+'Pacific Standard'!B13+'States General'!B13+Statesman!B13+'Summit National'!B13+Supreme!B13+Underwriters!B13+Unison!B13+'United Republic'!B13+Universe!B13</f>
        <v>459490.41163202352</v>
      </c>
      <c r="C13" s="3">
        <f>+'Alabama Life'!C13+'American Chambers'!C13+'American Educators'!C13+'American Integrity'!C13+'Amer Life Asr'!C13+'Amer Std Life Acc'!C13+AmerWstrn!C13+'AMS Life'!C13+'Bankers Commercial'!C13+'Coastal States'!C13+'Confed Life (CLIC)'!C13+'Consolidated National'!C13+'Consumers United'!C13+'Corporate Life'!C13+'Diamond Benefits'!C13+'EBL Life'!C13+'Fidelity Bankers'!C13+'First Natl'!C13+'George Washington'!C13+'Guarantee Security'!C13+'Inter-American'!C13+'Investment Life of America'!C13+'Kentucky Central'!C13+'London Pac'!C13+'Midwest Life'!C13+'Mutual Benefit'!C13+'Mutual Security'!C13+'National Affiliated'!C13+'Natl American'!C13+'New Jersey Life'!C13+'Old Colony Life'!C13+'Old Faithful'!C13+'Pacific Standard'!C13+'States General'!C13+Statesman!C13+'Summit National'!C13+Supreme!C13+Underwriters!C13+Unison!C13+'United Republic'!C13+Universe!C13</f>
        <v>3459594.4199294699</v>
      </c>
      <c r="D13" s="3">
        <f>+'Alabama Life'!D13+'American Chambers'!D13+'American Educators'!D13+'American Integrity'!D13+'Amer Life Asr'!D13+'Amer Std Life Acc'!D13+AmerWstrn!D13+'AMS Life'!D13+'Bankers Commercial'!D13+'Coastal States'!D13+'Confed Life (CLIC)'!D13+'Consolidated National'!D13+'Consumers United'!D13+'Corporate Life'!D13+'Diamond Benefits'!D13+'EBL Life'!D13+'Fidelity Bankers'!D13+'First Natl'!D13+'George Washington'!D13+'Guarantee Security'!D13+'Inter-American'!D13+'Investment Life of America'!D13+'Kentucky Central'!D13+'London Pac'!D13+'Midwest Life'!D13+'Mutual Benefit'!D13+'Mutual Security'!D13+'National Affiliated'!D13+'Natl American'!D13+'New Jersey Life'!D13+'Old Colony Life'!D13+'Old Faithful'!D13+'Pacific Standard'!D13+'States General'!D13+Statesman!D13+'Summit National'!D13+Supreme!D13+Underwriters!D13+Unison!D13+'United Republic'!D13+Universe!D13</f>
        <v>1532775.8619926174</v>
      </c>
      <c r="E13" s="3">
        <f>+'Alabama Life'!E13+'American Chambers'!E13+'American Educators'!E13+'American Integrity'!E13+'Amer Life Asr'!E13+'Amer Std Life Acc'!E13+AmerWstrn!E13+'AMS Life'!E13+'Bankers Commercial'!E13+'Coastal States'!E13+'Confed Life (CLIC)'!E13+'Consolidated National'!E13+'Consumers United'!E13+'Corporate Life'!E13+'Diamond Benefits'!E13+'EBL Life'!E13+'Fidelity Bankers'!E13+'First Natl'!E13+'George Washington'!E13+'Guarantee Security'!E13+'Inter-American'!E13+'Investment Life of America'!E13+'Kentucky Central'!E13+'London Pac'!E13+'Midwest Life'!E13+'Mutual Benefit'!E13+'Mutual Security'!E13+'National Affiliated'!E13+'Natl American'!E13+'New Jersey Life'!E13+'Old Colony Life'!E13+'Old Faithful'!E13+'Pacific Standard'!E13+'States General'!E13+Statesman!E13+'Summit National'!E13+Supreme!E13+Underwriters!E13+Unison!E13+'United Republic'!E13+Universe!E13</f>
        <v>232162.87676859848</v>
      </c>
      <c r="F13" s="3">
        <f t="shared" si="0"/>
        <v>5684023.5703227092</v>
      </c>
      <c r="H13" t="s">
        <v>285</v>
      </c>
      <c r="I13" s="3">
        <f>+Summary!L62</f>
        <v>33226067.659999993</v>
      </c>
    </row>
    <row r="14" spans="1:9">
      <c r="A14" t="s">
        <v>8</v>
      </c>
      <c r="B14" s="3">
        <f>+'Alabama Life'!B14+'American Chambers'!B14+'American Educators'!B14+'American Integrity'!B14+'Amer Life Asr'!B14+'Amer Std Life Acc'!B14+AmerWstrn!B14+'AMS Life'!B14+'Bankers Commercial'!B14+'Coastal States'!B14+'Confed Life (CLIC)'!B14+'Consolidated National'!B14+'Consumers United'!B14+'Corporate Life'!B14+'Diamond Benefits'!B14+'EBL Life'!B14+'Fidelity Bankers'!B14+'First Natl'!B14+'George Washington'!B14+'Guarantee Security'!B14+'Inter-American'!B14+'Investment Life of America'!B14+'Kentucky Central'!B14+'London Pac'!B14+'Midwest Life'!B14+'Mutual Benefit'!B14+'Mutual Security'!B14+'National Affiliated'!B14+'Natl American'!B14+'New Jersey Life'!B14+'Old Colony Life'!B14+'Old Faithful'!B14+'Pacific Standard'!B14+'States General'!B14+Statesman!B14+'Summit National'!B14+Supreme!B14+Underwriters!B14+Unison!B14+'United Republic'!B14+Universe!B14</f>
        <v>72957.817970873264</v>
      </c>
      <c r="C14" s="3">
        <f>+'Alabama Life'!C14+'American Chambers'!C14+'American Educators'!C14+'American Integrity'!C14+'Amer Life Asr'!C14+'Amer Std Life Acc'!C14+AmerWstrn!C14+'AMS Life'!C14+'Bankers Commercial'!C14+'Coastal States'!C14+'Confed Life (CLIC)'!C14+'Consolidated National'!C14+'Consumers United'!C14+'Corporate Life'!C14+'Diamond Benefits'!C14+'EBL Life'!C14+'Fidelity Bankers'!C14+'First Natl'!C14+'George Washington'!C14+'Guarantee Security'!C14+'Inter-American'!C14+'Investment Life of America'!C14+'Kentucky Central'!C14+'London Pac'!C14+'Midwest Life'!C14+'Mutual Benefit'!C14+'Mutual Security'!C14+'National Affiliated'!C14+'Natl American'!C14+'New Jersey Life'!C14+'Old Colony Life'!C14+'Old Faithful'!C14+'Pacific Standard'!C14+'States General'!C14+Statesman!C14+'Summit National'!C14+Supreme!C14+Underwriters!C14+Unison!C14+'United Republic'!C14+Universe!C14</f>
        <v>104964.40849340594</v>
      </c>
      <c r="D14" s="3">
        <f>+'Alabama Life'!D14+'American Chambers'!D14+'American Educators'!D14+'American Integrity'!D14+'Amer Life Asr'!D14+'Amer Std Life Acc'!D14+AmerWstrn!D14+'AMS Life'!D14+'Bankers Commercial'!D14+'Coastal States'!D14+'Confed Life (CLIC)'!D14+'Consolidated National'!D14+'Consumers United'!D14+'Corporate Life'!D14+'Diamond Benefits'!D14+'EBL Life'!D14+'Fidelity Bankers'!D14+'First Natl'!D14+'George Washington'!D14+'Guarantee Security'!D14+'Inter-American'!D14+'Investment Life of America'!D14+'Kentucky Central'!D14+'London Pac'!D14+'Midwest Life'!D14+'Mutual Benefit'!D14+'Mutual Security'!D14+'National Affiliated'!D14+'Natl American'!D14+'New Jersey Life'!D14+'Old Colony Life'!D14+'Old Faithful'!D14+'Pacific Standard'!D14+'States General'!D14+Statesman!D14+'Summit National'!D14+Supreme!D14+Underwriters!D14+Unison!D14+'United Republic'!D14+Universe!D14</f>
        <v>3282.0675682308538</v>
      </c>
      <c r="E14" s="3">
        <f>+'Alabama Life'!E14+'American Chambers'!E14+'American Educators'!E14+'American Integrity'!E14+'Amer Life Asr'!E14+'Amer Std Life Acc'!E14+AmerWstrn!E14+'AMS Life'!E14+'Bankers Commercial'!E14+'Coastal States'!E14+'Confed Life (CLIC)'!E14+'Consolidated National'!E14+'Consumers United'!E14+'Corporate Life'!E14+'Diamond Benefits'!E14+'EBL Life'!E14+'Fidelity Bankers'!E14+'First Natl'!E14+'George Washington'!E14+'Guarantee Security'!E14+'Inter-American'!E14+'Investment Life of America'!E14+'Kentucky Central'!E14+'London Pac'!E14+'Midwest Life'!E14+'Mutual Benefit'!E14+'Mutual Security'!E14+'National Affiliated'!E14+'Natl American'!E14+'New Jersey Life'!E14+'Old Colony Life'!E14+'Old Faithful'!E14+'Pacific Standard'!E14+'States General'!E14+Statesman!E14+'Summit National'!E14+Supreme!E14+Underwriters!E14+Unison!E14+'United Republic'!E14+Universe!E14</f>
        <v>0</v>
      </c>
      <c r="F14" s="3">
        <f t="shared" si="0"/>
        <v>181204.29403251005</v>
      </c>
      <c r="H14" t="s">
        <v>288</v>
      </c>
      <c r="I14" s="3">
        <f>+Summary!L63</f>
        <v>13849824.710000001</v>
      </c>
    </row>
    <row r="15" spans="1:9">
      <c r="A15" t="s">
        <v>9</v>
      </c>
      <c r="B15" s="3">
        <f>+'Alabama Life'!B15+'American Chambers'!B15+'American Educators'!B15+'American Integrity'!B15+'Amer Life Asr'!B15+'Amer Std Life Acc'!B15+AmerWstrn!B15+'AMS Life'!B15+'Bankers Commercial'!B15+'Coastal States'!B15+'Confed Life (CLIC)'!B15+'Consolidated National'!B15+'Consumers United'!B15+'Corporate Life'!B15+'Diamond Benefits'!B15+'EBL Life'!B15+'Fidelity Bankers'!B15+'First Natl'!B15+'George Washington'!B15+'Guarantee Security'!B15+'Inter-American'!B15+'Investment Life of America'!B15+'Kentucky Central'!B15+'London Pac'!B15+'Midwest Life'!B15+'Mutual Benefit'!B15+'Mutual Security'!B15+'National Affiliated'!B15+'Natl American'!B15+'New Jersey Life'!B15+'Old Colony Life'!B15+'Old Faithful'!B15+'Pacific Standard'!B15+'States General'!B15+Statesman!B15+'Summit National'!B15+Supreme!B15+Underwriters!B15+Unison!B15+'United Republic'!B15+Universe!B15</f>
        <v>14816178.555003013</v>
      </c>
      <c r="C15" s="3">
        <f>+'Alabama Life'!C15+'American Chambers'!C15+'American Educators'!C15+'American Integrity'!C15+'Amer Life Asr'!C15+'Amer Std Life Acc'!C15+AmerWstrn!C15+'AMS Life'!C15+'Bankers Commercial'!C15+'Coastal States'!C15+'Confed Life (CLIC)'!C15+'Consolidated National'!C15+'Consumers United'!C15+'Corporate Life'!C15+'Diamond Benefits'!C15+'EBL Life'!C15+'Fidelity Bankers'!C15+'First Natl'!C15+'George Washington'!C15+'Guarantee Security'!C15+'Inter-American'!C15+'Investment Life of America'!C15+'Kentucky Central'!C15+'London Pac'!C15+'Midwest Life'!C15+'Mutual Benefit'!C15+'Mutual Security'!C15+'National Affiliated'!C15+'Natl American'!C15+'New Jersey Life'!C15+'Old Colony Life'!C15+'Old Faithful'!C15+'Pacific Standard'!C15+'States General'!C15+Statesman!C15+'Summit National'!C15+Supreme!C15+Underwriters!C15+Unison!C15+'United Republic'!C15+Universe!C15</f>
        <v>45402407.108688116</v>
      </c>
      <c r="D15" s="3">
        <f>+'Alabama Life'!D15+'American Chambers'!D15+'American Educators'!D15+'American Integrity'!D15+'Amer Life Asr'!D15+'Amer Std Life Acc'!D15+AmerWstrn!D15+'AMS Life'!D15+'Bankers Commercial'!D15+'Coastal States'!D15+'Confed Life (CLIC)'!D15+'Consolidated National'!D15+'Consumers United'!D15+'Corporate Life'!D15+'Diamond Benefits'!D15+'EBL Life'!D15+'Fidelity Bankers'!D15+'First Natl'!D15+'George Washington'!D15+'Guarantee Security'!D15+'Inter-American'!D15+'Investment Life of America'!D15+'Kentucky Central'!D15+'London Pac'!D15+'Midwest Life'!D15+'Mutual Benefit'!D15+'Mutual Security'!D15+'National Affiliated'!D15+'Natl American'!D15+'New Jersey Life'!D15+'Old Colony Life'!D15+'Old Faithful'!D15+'Pacific Standard'!D15+'States General'!D15+Statesman!D15+'Summit National'!D15+Supreme!D15+Underwriters!D15+Unison!D15+'United Republic'!D15+Universe!D15</f>
        <v>8094181.3024578542</v>
      </c>
      <c r="E15" s="3">
        <f>+'Alabama Life'!E15+'American Chambers'!E15+'American Educators'!E15+'American Integrity'!E15+'Amer Life Asr'!E15+'Amer Std Life Acc'!E15+AmerWstrn!E15+'AMS Life'!E15+'Bankers Commercial'!E15+'Coastal States'!E15+'Confed Life (CLIC)'!E15+'Consolidated National'!E15+'Consumers United'!E15+'Corporate Life'!E15+'Diamond Benefits'!E15+'EBL Life'!E15+'Fidelity Bankers'!E15+'First Natl'!E15+'George Washington'!E15+'Guarantee Security'!E15+'Inter-American'!E15+'Investment Life of America'!E15+'Kentucky Central'!E15+'London Pac'!E15+'Midwest Life'!E15+'Mutual Benefit'!E15+'Mutual Security'!E15+'National Affiliated'!E15+'Natl American'!E15+'New Jersey Life'!E15+'Old Colony Life'!E15+'Old Faithful'!E15+'Pacific Standard'!E15+'States General'!E15+Statesman!E15+'Summit National'!E15+Supreme!E15+Underwriters!E15+Unison!E15+'United Republic'!E15+Universe!E15</f>
        <v>5731.567717149901</v>
      </c>
      <c r="F15" s="3">
        <f t="shared" si="0"/>
        <v>68318498.533866137</v>
      </c>
      <c r="H15" t="s">
        <v>290</v>
      </c>
      <c r="I15" s="3">
        <f>+Summary!L64</f>
        <v>16322100</v>
      </c>
    </row>
    <row r="16" spans="1:9">
      <c r="A16" t="s">
        <v>10</v>
      </c>
      <c r="B16" s="3">
        <f>+'Alabama Life'!B16+'American Chambers'!B16+'American Educators'!B16+'American Integrity'!B16+'Amer Life Asr'!B16+'Amer Std Life Acc'!B16+AmerWstrn!B16+'AMS Life'!B16+'Bankers Commercial'!B16+'Coastal States'!B16+'Confed Life (CLIC)'!B16+'Consolidated National'!B16+'Consumers United'!B16+'Corporate Life'!B16+'Diamond Benefits'!B16+'EBL Life'!B16+'Fidelity Bankers'!B16+'First Natl'!B16+'George Washington'!B16+'Guarantee Security'!B16+'Inter-American'!B16+'Investment Life of America'!B16+'Kentucky Central'!B16+'London Pac'!B16+'Midwest Life'!B16+'Mutual Benefit'!B16+'Mutual Security'!B16+'National Affiliated'!B16+'Natl American'!B16+'New Jersey Life'!B16+'Old Colony Life'!B16+'Old Faithful'!B16+'Pacific Standard'!B16+'States General'!B16+Statesman!B16+'Summit National'!B16+Supreme!B16+Underwriters!B16+Unison!B16+'United Republic'!B16+Universe!B16</f>
        <v>2270468.3206772506</v>
      </c>
      <c r="C16" s="3">
        <f>+'Alabama Life'!C16+'American Chambers'!C16+'American Educators'!C16+'American Integrity'!C16+'Amer Life Asr'!C16+'Amer Std Life Acc'!C16+AmerWstrn!C16+'AMS Life'!C16+'Bankers Commercial'!C16+'Coastal States'!C16+'Confed Life (CLIC)'!C16+'Consolidated National'!C16+'Consumers United'!C16+'Corporate Life'!C16+'Diamond Benefits'!C16+'EBL Life'!C16+'Fidelity Bankers'!C16+'First Natl'!C16+'George Washington'!C16+'Guarantee Security'!C16+'Inter-American'!C16+'Investment Life of America'!C16+'Kentucky Central'!C16+'London Pac'!C16+'Midwest Life'!C16+'Mutual Benefit'!C16+'Mutual Security'!C16+'National Affiliated'!C16+'Natl American'!C16+'New Jersey Life'!C16+'Old Colony Life'!C16+'Old Faithful'!C16+'Pacific Standard'!C16+'States General'!C16+Statesman!C16+'Summit National'!C16+Supreme!C16+Underwriters!C16+Unison!C16+'United Republic'!C16+Universe!C16</f>
        <v>5602393.2740138844</v>
      </c>
      <c r="D16" s="3">
        <f>+'Alabama Life'!D16+'American Chambers'!D16+'American Educators'!D16+'American Integrity'!D16+'Amer Life Asr'!D16+'Amer Std Life Acc'!D16+AmerWstrn!D16+'AMS Life'!D16+'Bankers Commercial'!D16+'Coastal States'!D16+'Confed Life (CLIC)'!D16+'Consolidated National'!D16+'Consumers United'!D16+'Corporate Life'!D16+'Diamond Benefits'!D16+'EBL Life'!D16+'Fidelity Bankers'!D16+'First Natl'!D16+'George Washington'!D16+'Guarantee Security'!D16+'Inter-American'!D16+'Investment Life of America'!D16+'Kentucky Central'!D16+'London Pac'!D16+'Midwest Life'!D16+'Mutual Benefit'!D16+'Mutual Security'!D16+'National Affiliated'!D16+'Natl American'!D16+'New Jersey Life'!D16+'Old Colony Life'!D16+'Old Faithful'!D16+'Pacific Standard'!D16+'States General'!D16+Statesman!D16+'Summit National'!D16+Supreme!D16+Underwriters!D16+Unison!D16+'United Republic'!D16+Universe!D16</f>
        <v>4873848.3792061862</v>
      </c>
      <c r="E16" s="3">
        <f>+'Alabama Life'!E16+'American Chambers'!E16+'American Educators'!E16+'American Integrity'!E16+'Amer Life Asr'!E16+'Amer Std Life Acc'!E16+AmerWstrn!E16+'AMS Life'!E16+'Bankers Commercial'!E16+'Coastal States'!E16+'Confed Life (CLIC)'!E16+'Consolidated National'!E16+'Consumers United'!E16+'Corporate Life'!E16+'Diamond Benefits'!E16+'EBL Life'!E16+'Fidelity Bankers'!E16+'First Natl'!E16+'George Washington'!E16+'Guarantee Security'!E16+'Inter-American'!E16+'Investment Life of America'!E16+'Kentucky Central'!E16+'London Pac'!E16+'Midwest Life'!E16+'Mutual Benefit'!E16+'Mutual Security'!E16+'National Affiliated'!E16+'Natl American'!E16+'New Jersey Life'!E16+'Old Colony Life'!E16+'Old Faithful'!E16+'Pacific Standard'!E16+'States General'!E16+Statesman!E16+'Summit National'!E16+Supreme!E16+Underwriters!E16+Unison!E16+'United Republic'!E16+Universe!E16</f>
        <v>113480.9155385584</v>
      </c>
      <c r="F16" s="3">
        <f t="shared" si="0"/>
        <v>12860190.88943588</v>
      </c>
      <c r="H16" t="s">
        <v>293</v>
      </c>
      <c r="I16" s="3">
        <f>+Summary!L65</f>
        <v>13817.376958971803</v>
      </c>
    </row>
    <row r="17" spans="1:9">
      <c r="A17" t="s">
        <v>11</v>
      </c>
      <c r="B17" s="3">
        <f>+'Alabama Life'!B17+'American Chambers'!B17+'American Educators'!B17+'American Integrity'!B17+'Amer Life Asr'!B17+'Amer Std Life Acc'!B17+AmerWstrn!B17+'AMS Life'!B17+'Bankers Commercial'!B17+'Coastal States'!B17+'Confed Life (CLIC)'!B17+'Consolidated National'!B17+'Consumers United'!B17+'Corporate Life'!B17+'Diamond Benefits'!B17+'EBL Life'!B17+'Fidelity Bankers'!B17+'First Natl'!B17+'George Washington'!B17+'Guarantee Security'!B17+'Inter-American'!B17+'Investment Life of America'!B17+'Kentucky Central'!B17+'London Pac'!B17+'Midwest Life'!B17+'Mutual Benefit'!B17+'Mutual Security'!B17+'National Affiliated'!B17+'Natl American'!B17+'New Jersey Life'!B17+'Old Colony Life'!B17+'Old Faithful'!B17+'Pacific Standard'!B17+'States General'!B17+Statesman!B17+'Summit National'!B17+Supreme!B17+Underwriters!B17+Unison!B17+'United Republic'!B17+Universe!B17</f>
        <v>1337483.9130468722</v>
      </c>
      <c r="C17" s="3">
        <f>+'Alabama Life'!C17+'American Chambers'!C17+'American Educators'!C17+'American Integrity'!C17+'Amer Life Asr'!C17+'Amer Std Life Acc'!C17+AmerWstrn!C17+'AMS Life'!C17+'Bankers Commercial'!C17+'Coastal States'!C17+'Confed Life (CLIC)'!C17+'Consolidated National'!C17+'Consumers United'!C17+'Corporate Life'!C17+'Diamond Benefits'!C17+'EBL Life'!C17+'Fidelity Bankers'!C17+'First Natl'!C17+'George Washington'!C17+'Guarantee Security'!C17+'Inter-American'!C17+'Investment Life of America'!C17+'Kentucky Central'!C17+'London Pac'!C17+'Midwest Life'!C17+'Mutual Benefit'!C17+'Mutual Security'!C17+'National Affiliated'!C17+'Natl American'!C17+'New Jersey Life'!C17+'Old Colony Life'!C17+'Old Faithful'!C17+'Pacific Standard'!C17+'States General'!C17+Statesman!C17+'Summit National'!C17+Supreme!C17+Underwriters!C17+Unison!C17+'United Republic'!C17+Universe!C17</f>
        <v>381275.0613012478</v>
      </c>
      <c r="D17" s="3">
        <f>+'Alabama Life'!D17+'American Chambers'!D17+'American Educators'!D17+'American Integrity'!D17+'Amer Life Asr'!D17+'Amer Std Life Acc'!D17+AmerWstrn!D17+'AMS Life'!D17+'Bankers Commercial'!D17+'Coastal States'!D17+'Confed Life (CLIC)'!D17+'Consolidated National'!D17+'Consumers United'!D17+'Corporate Life'!D17+'Diamond Benefits'!D17+'EBL Life'!D17+'Fidelity Bankers'!D17+'First Natl'!D17+'George Washington'!D17+'Guarantee Security'!D17+'Inter-American'!D17+'Investment Life of America'!D17+'Kentucky Central'!D17+'London Pac'!D17+'Midwest Life'!D17+'Mutual Benefit'!D17+'Mutual Security'!D17+'National Affiliated'!D17+'Natl American'!D17+'New Jersey Life'!D17+'Old Colony Life'!D17+'Old Faithful'!D17+'Pacific Standard'!D17+'States General'!D17+Statesman!D17+'Summit National'!D17+Supreme!D17+Underwriters!D17+Unison!D17+'United Republic'!D17+Universe!D17</f>
        <v>3443.715722656701</v>
      </c>
      <c r="E17" s="3">
        <f>+'Alabama Life'!E17+'American Chambers'!E17+'American Educators'!E17+'American Integrity'!E17+'Amer Life Asr'!E17+'Amer Std Life Acc'!E17+AmerWstrn!E17+'AMS Life'!E17+'Bankers Commercial'!E17+'Coastal States'!E17+'Confed Life (CLIC)'!E17+'Consolidated National'!E17+'Consumers United'!E17+'Corporate Life'!E17+'Diamond Benefits'!E17+'EBL Life'!E17+'Fidelity Bankers'!E17+'First Natl'!E17+'George Washington'!E17+'Guarantee Security'!E17+'Inter-American'!E17+'Investment Life of America'!E17+'Kentucky Central'!E17+'London Pac'!E17+'Midwest Life'!E17+'Mutual Benefit'!E17+'Mutual Security'!E17+'National Affiliated'!E17+'Natl American'!E17+'New Jersey Life'!E17+'Old Colony Life'!E17+'Old Faithful'!E17+'Pacific Standard'!E17+'States General'!E17+Statesman!E17+'Summit National'!E17+Supreme!E17+Underwriters!E17+Unison!E17+'United Republic'!E17+Universe!E17</f>
        <v>0</v>
      </c>
      <c r="F17" s="3">
        <f t="shared" si="0"/>
        <v>1722202.6900707767</v>
      </c>
      <c r="H17" t="s">
        <v>295</v>
      </c>
      <c r="I17" s="3">
        <f>+Summary!L66</f>
        <v>8852915.8417948727</v>
      </c>
    </row>
    <row r="18" spans="1:9">
      <c r="A18" t="s">
        <v>12</v>
      </c>
      <c r="B18" s="3">
        <f>+'Alabama Life'!B18+'American Chambers'!B18+'American Educators'!B18+'American Integrity'!B18+'Amer Life Asr'!B18+'Amer Std Life Acc'!B18+AmerWstrn!B18+'AMS Life'!B18+'Bankers Commercial'!B18+'Coastal States'!B18+'Confed Life (CLIC)'!B18+'Consolidated National'!B18+'Consumers United'!B18+'Corporate Life'!B18+'Diamond Benefits'!B18+'EBL Life'!B18+'Fidelity Bankers'!B18+'First Natl'!B18+'George Washington'!B18+'Guarantee Security'!B18+'Inter-American'!B18+'Investment Life of America'!B18+'Kentucky Central'!B18+'London Pac'!B18+'Midwest Life'!B18+'Mutual Benefit'!B18+'Mutual Security'!B18+'National Affiliated'!B18+'Natl American'!B18+'New Jersey Life'!B18+'Old Colony Life'!B18+'Old Faithful'!B18+'Pacific Standard'!B18+'States General'!B18+Statesman!B18+'Summit National'!B18+Supreme!B18+Underwriters!B18+Unison!B18+'United Republic'!B18+Universe!B18</f>
        <v>544356.36668182013</v>
      </c>
      <c r="C18" s="3">
        <f>+'Alabama Life'!C18+'American Chambers'!C18+'American Educators'!C18+'American Integrity'!C18+'Amer Life Asr'!C18+'Amer Std Life Acc'!C18+AmerWstrn!C18+'AMS Life'!C18+'Bankers Commercial'!C18+'Coastal States'!C18+'Confed Life (CLIC)'!C18+'Consolidated National'!C18+'Consumers United'!C18+'Corporate Life'!C18+'Diamond Benefits'!C18+'EBL Life'!C18+'Fidelity Bankers'!C18+'First Natl'!C18+'George Washington'!C18+'Guarantee Security'!C18+'Inter-American'!C18+'Investment Life of America'!C18+'Kentucky Central'!C18+'London Pac'!C18+'Midwest Life'!C18+'Mutual Benefit'!C18+'Mutual Security'!C18+'National Affiliated'!C18+'Natl American'!C18+'New Jersey Life'!C18+'Old Colony Life'!C18+'Old Faithful'!C18+'Pacific Standard'!C18+'States General'!C18+Statesman!C18+'Summit National'!C18+Supreme!C18+Underwriters!C18+Unison!C18+'United Republic'!C18+Universe!C18</f>
        <v>2262505.3811549367</v>
      </c>
      <c r="D18" s="3">
        <f>+'Alabama Life'!D18+'American Chambers'!D18+'American Educators'!D18+'American Integrity'!D18+'Amer Life Asr'!D18+'Amer Std Life Acc'!D18+AmerWstrn!D18+'AMS Life'!D18+'Bankers Commercial'!D18+'Coastal States'!D18+'Confed Life (CLIC)'!D18+'Consolidated National'!D18+'Consumers United'!D18+'Corporate Life'!D18+'Diamond Benefits'!D18+'EBL Life'!D18+'Fidelity Bankers'!D18+'First Natl'!D18+'George Washington'!D18+'Guarantee Security'!D18+'Inter-American'!D18+'Investment Life of America'!D18+'Kentucky Central'!D18+'London Pac'!D18+'Midwest Life'!D18+'Mutual Benefit'!D18+'Mutual Security'!D18+'National Affiliated'!D18+'Natl American'!D18+'New Jersey Life'!D18+'Old Colony Life'!D18+'Old Faithful'!D18+'Pacific Standard'!D18+'States General'!D18+Statesman!D18+'Summit National'!D18+Supreme!D18+Underwriters!D18+Unison!D18+'United Republic'!D18+Universe!D18</f>
        <v>680418.32184518338</v>
      </c>
      <c r="E18" s="3">
        <f>+'Alabama Life'!E18+'American Chambers'!E18+'American Educators'!E18+'American Integrity'!E18+'Amer Life Asr'!E18+'Amer Std Life Acc'!E18+AmerWstrn!E18+'AMS Life'!E18+'Bankers Commercial'!E18+'Coastal States'!E18+'Confed Life (CLIC)'!E18+'Consolidated National'!E18+'Consumers United'!E18+'Corporate Life'!E18+'Diamond Benefits'!E18+'EBL Life'!E18+'Fidelity Bankers'!E18+'First Natl'!E18+'George Washington'!E18+'Guarantee Security'!E18+'Inter-American'!E18+'Investment Life of America'!E18+'Kentucky Central'!E18+'London Pac'!E18+'Midwest Life'!E18+'Mutual Benefit'!E18+'Mutual Security'!E18+'National Affiliated'!E18+'Natl American'!E18+'New Jersey Life'!E18+'Old Colony Life'!E18+'Old Faithful'!E18+'Pacific Standard'!E18+'States General'!E18+Statesman!E18+'Summit National'!E18+Supreme!E18+Underwriters!E18+Unison!E18+'United Republic'!E18+Universe!E18</f>
        <v>0</v>
      </c>
      <c r="F18" s="3">
        <f t="shared" si="0"/>
        <v>3487280.0696819406</v>
      </c>
      <c r="H18" t="s">
        <v>297</v>
      </c>
      <c r="I18" s="3">
        <f>+Summary!L67</f>
        <v>15093008.110000001</v>
      </c>
    </row>
    <row r="19" spans="1:9">
      <c r="A19" t="s">
        <v>13</v>
      </c>
      <c r="B19" s="3">
        <f>+'Alabama Life'!B19+'American Chambers'!B19+'American Educators'!B19+'American Integrity'!B19+'Amer Life Asr'!B19+'Amer Std Life Acc'!B19+AmerWstrn!B19+'AMS Life'!B19+'Bankers Commercial'!B19+'Coastal States'!B19+'Confed Life (CLIC)'!B19+'Consolidated National'!B19+'Consumers United'!B19+'Corporate Life'!B19+'Diamond Benefits'!B19+'EBL Life'!B19+'Fidelity Bankers'!B19+'First Natl'!B19+'George Washington'!B19+'Guarantee Security'!B19+'Inter-American'!B19+'Investment Life of America'!B19+'Kentucky Central'!B19+'London Pac'!B19+'Midwest Life'!B19+'Mutual Benefit'!B19+'Mutual Security'!B19+'National Affiliated'!B19+'Natl American'!B19+'New Jersey Life'!B19+'Old Colony Life'!B19+'Old Faithful'!B19+'Pacific Standard'!B19+'States General'!B19+Statesman!B19+'Summit National'!B19+Supreme!B19+Underwriters!B19+Unison!B19+'United Republic'!B19+Universe!B19</f>
        <v>29483763.844081577</v>
      </c>
      <c r="C19" s="3">
        <f>+'Alabama Life'!C19+'American Chambers'!C19+'American Educators'!C19+'American Integrity'!C19+'Amer Life Asr'!C19+'Amer Std Life Acc'!C19+AmerWstrn!C19+'AMS Life'!C19+'Bankers Commercial'!C19+'Coastal States'!C19+'Confed Life (CLIC)'!C19+'Consolidated National'!C19+'Consumers United'!C19+'Corporate Life'!C19+'Diamond Benefits'!C19+'EBL Life'!C19+'Fidelity Bankers'!C19+'First Natl'!C19+'George Washington'!C19+'Guarantee Security'!C19+'Inter-American'!C19+'Investment Life of America'!C19+'Kentucky Central'!C19+'London Pac'!C19+'Midwest Life'!C19+'Mutual Benefit'!C19+'Mutual Security'!C19+'National Affiliated'!C19+'Natl American'!C19+'New Jersey Life'!C19+'Old Colony Life'!C19+'Old Faithful'!C19+'Pacific Standard'!C19+'States General'!C19+Statesman!C19+'Summit National'!C19+Supreme!C19+Underwriters!C19+Unison!C19+'United Republic'!C19+Universe!C19</f>
        <v>45783738.124460831</v>
      </c>
      <c r="D19" s="3">
        <f>+'Alabama Life'!D19+'American Chambers'!D19+'American Educators'!D19+'American Integrity'!D19+'Amer Life Asr'!D19+'Amer Std Life Acc'!D19+AmerWstrn!D19+'AMS Life'!D19+'Bankers Commercial'!D19+'Coastal States'!D19+'Confed Life (CLIC)'!D19+'Consolidated National'!D19+'Consumers United'!D19+'Corporate Life'!D19+'Diamond Benefits'!D19+'EBL Life'!D19+'Fidelity Bankers'!D19+'First Natl'!D19+'George Washington'!D19+'Guarantee Security'!D19+'Inter-American'!D19+'Investment Life of America'!D19+'Kentucky Central'!D19+'London Pac'!D19+'Midwest Life'!D19+'Mutual Benefit'!D19+'Mutual Security'!D19+'National Affiliated'!D19+'Natl American'!D19+'New Jersey Life'!D19+'Old Colony Life'!D19+'Old Faithful'!D19+'Pacific Standard'!D19+'States General'!D19+Statesman!D19+'Summit National'!D19+Supreme!D19+Underwriters!D19+Unison!D19+'United Republic'!D19+Universe!D19</f>
        <v>7621161.2713122386</v>
      </c>
      <c r="E19" s="3">
        <f>+'Alabama Life'!E19+'American Chambers'!E19+'American Educators'!E19+'American Integrity'!E19+'Amer Life Asr'!E19+'Amer Std Life Acc'!E19+AmerWstrn!E19+'AMS Life'!E19+'Bankers Commercial'!E19+'Coastal States'!E19+'Confed Life (CLIC)'!E19+'Consolidated National'!E19+'Consumers United'!E19+'Corporate Life'!E19+'Diamond Benefits'!E19+'EBL Life'!E19+'Fidelity Bankers'!E19+'First Natl'!E19+'George Washington'!E19+'Guarantee Security'!E19+'Inter-American'!E19+'Investment Life of America'!E19+'Kentucky Central'!E19+'London Pac'!E19+'Midwest Life'!E19+'Mutual Benefit'!E19+'Mutual Security'!E19+'National Affiliated'!E19+'Natl American'!E19+'New Jersey Life'!E19+'Old Colony Life'!E19+'Old Faithful'!E19+'Pacific Standard'!E19+'States General'!E19+Statesman!E19+'Summit National'!E19+Supreme!E19+Underwriters!E19+Unison!E19+'United Republic'!E19+Universe!E19</f>
        <v>2426526.7482414194</v>
      </c>
      <c r="F19" s="3">
        <f t="shared" si="0"/>
        <v>85315189.988096073</v>
      </c>
      <c r="H19" t="s">
        <v>299</v>
      </c>
      <c r="I19" s="3">
        <f>+Summary!L68</f>
        <v>173587826.87265</v>
      </c>
    </row>
    <row r="20" spans="1:9">
      <c r="A20" t="s">
        <v>14</v>
      </c>
      <c r="B20" s="3">
        <f>+'Alabama Life'!B20+'American Chambers'!B20+'American Educators'!B20+'American Integrity'!B20+'Amer Life Asr'!B20+'Amer Std Life Acc'!B20+AmerWstrn!B20+'AMS Life'!B20+'Bankers Commercial'!B20+'Coastal States'!B20+'Confed Life (CLIC)'!B20+'Consolidated National'!B20+'Consumers United'!B20+'Corporate Life'!B20+'Diamond Benefits'!B20+'EBL Life'!B20+'Fidelity Bankers'!B20+'First Natl'!B20+'George Washington'!B20+'Guarantee Security'!B20+'Inter-American'!B20+'Investment Life of America'!B20+'Kentucky Central'!B20+'London Pac'!B20+'Midwest Life'!B20+'Mutual Benefit'!B20+'Mutual Security'!B20+'National Affiliated'!B20+'Natl American'!B20+'New Jersey Life'!B20+'Old Colony Life'!B20+'Old Faithful'!B20+'Pacific Standard'!B20+'States General'!B20+Statesman!B20+'Summit National'!B20+Supreme!B20+Underwriters!B20+Unison!B20+'United Republic'!B20+Universe!B20</f>
        <v>7551017.1456552139</v>
      </c>
      <c r="C20" s="3">
        <f>+'Alabama Life'!C20+'American Chambers'!C20+'American Educators'!C20+'American Integrity'!C20+'Amer Life Asr'!C20+'Amer Std Life Acc'!C20+AmerWstrn!C20+'AMS Life'!C20+'Bankers Commercial'!C20+'Coastal States'!C20+'Confed Life (CLIC)'!C20+'Consolidated National'!C20+'Consumers United'!C20+'Corporate Life'!C20+'Diamond Benefits'!C20+'EBL Life'!C20+'Fidelity Bankers'!C20+'First Natl'!C20+'George Washington'!C20+'Guarantee Security'!C20+'Inter-American'!C20+'Investment Life of America'!C20+'Kentucky Central'!C20+'London Pac'!C20+'Midwest Life'!C20+'Mutual Benefit'!C20+'Mutual Security'!C20+'National Affiliated'!C20+'Natl American'!C20+'New Jersey Life'!C20+'Old Colony Life'!C20+'Old Faithful'!C20+'Pacific Standard'!C20+'States General'!C20+Statesman!C20+'Summit National'!C20+Supreme!C20+Underwriters!C20+Unison!C20+'United Republic'!C20+Universe!C20</f>
        <v>18800143.199445415</v>
      </c>
      <c r="D20" s="3">
        <f>+'Alabama Life'!D20+'American Chambers'!D20+'American Educators'!D20+'American Integrity'!D20+'Amer Life Asr'!D20+'Amer Std Life Acc'!D20+AmerWstrn!D20+'AMS Life'!D20+'Bankers Commercial'!D20+'Coastal States'!D20+'Confed Life (CLIC)'!D20+'Consolidated National'!D20+'Consumers United'!D20+'Corporate Life'!D20+'Diamond Benefits'!D20+'EBL Life'!D20+'Fidelity Bankers'!D20+'First Natl'!D20+'George Washington'!D20+'Guarantee Security'!D20+'Inter-American'!D20+'Investment Life of America'!D20+'Kentucky Central'!D20+'London Pac'!D20+'Midwest Life'!D20+'Mutual Benefit'!D20+'Mutual Security'!D20+'National Affiliated'!D20+'Natl American'!D20+'New Jersey Life'!D20+'Old Colony Life'!D20+'Old Faithful'!D20+'Pacific Standard'!D20+'States General'!D20+Statesman!D20+'Summit National'!D20+Supreme!D20+Underwriters!D20+Unison!D20+'United Republic'!D20+Universe!D20</f>
        <v>1970736.3442812588</v>
      </c>
      <c r="E20" s="3">
        <f>+'Alabama Life'!E20+'American Chambers'!E20+'American Educators'!E20+'American Integrity'!E20+'Amer Life Asr'!E20+'Amer Std Life Acc'!E20+AmerWstrn!E20+'AMS Life'!E20+'Bankers Commercial'!E20+'Coastal States'!E20+'Confed Life (CLIC)'!E20+'Consolidated National'!E20+'Consumers United'!E20+'Corporate Life'!E20+'Diamond Benefits'!E20+'EBL Life'!E20+'Fidelity Bankers'!E20+'First Natl'!E20+'George Washington'!E20+'Guarantee Security'!E20+'Inter-American'!E20+'Investment Life of America'!E20+'Kentucky Central'!E20+'London Pac'!E20+'Midwest Life'!E20+'Mutual Benefit'!E20+'Mutual Security'!E20+'National Affiliated'!E20+'Natl American'!E20+'New Jersey Life'!E20+'Old Colony Life'!E20+'Old Faithful'!E20+'Pacific Standard'!E20+'States General'!E20+Statesman!E20+'Summit National'!E20+Supreme!E20+Underwriters!E20+Unison!E20+'United Republic'!E20+Universe!E20</f>
        <v>4755022.3361586751</v>
      </c>
      <c r="F20" s="3">
        <f t="shared" si="0"/>
        <v>33076919.025540564</v>
      </c>
      <c r="H20" t="s">
        <v>301</v>
      </c>
      <c r="I20" s="3">
        <f>+Summary!L69</f>
        <v>12094494.004500002</v>
      </c>
    </row>
    <row r="21" spans="1:9">
      <c r="A21" t="s">
        <v>15</v>
      </c>
      <c r="B21" s="3">
        <f>+'Alabama Life'!B21+'American Chambers'!B21+'American Educators'!B21+'American Integrity'!B21+'Amer Life Asr'!B21+'Amer Std Life Acc'!B21+AmerWstrn!B21+'AMS Life'!B21+'Bankers Commercial'!B21+'Coastal States'!B21+'Confed Life (CLIC)'!B21+'Consolidated National'!B21+'Consumers United'!B21+'Corporate Life'!B21+'Diamond Benefits'!B21+'EBL Life'!B21+'Fidelity Bankers'!B21+'First Natl'!B21+'George Washington'!B21+'Guarantee Security'!B21+'Inter-American'!B21+'Investment Life of America'!B21+'Kentucky Central'!B21+'London Pac'!B21+'Midwest Life'!B21+'Mutual Benefit'!B21+'Mutual Security'!B21+'National Affiliated'!B21+'Natl American'!B21+'New Jersey Life'!B21+'Old Colony Life'!B21+'Old Faithful'!B21+'Pacific Standard'!B21+'States General'!B21+Statesman!B21+'Summit National'!B21+Supreme!B21+Underwriters!B21+Unison!B21+'United Republic'!B21+Universe!B21</f>
        <v>4926746.941822187</v>
      </c>
      <c r="C21" s="3">
        <f>+'Alabama Life'!C21+'American Chambers'!C21+'American Educators'!C21+'American Integrity'!C21+'Amer Life Asr'!C21+'Amer Std Life Acc'!C21+AmerWstrn!C21+'AMS Life'!C21+'Bankers Commercial'!C21+'Coastal States'!C21+'Confed Life (CLIC)'!C21+'Consolidated National'!C21+'Consumers United'!C21+'Corporate Life'!C21+'Diamond Benefits'!C21+'EBL Life'!C21+'Fidelity Bankers'!C21+'First Natl'!C21+'George Washington'!C21+'Guarantee Security'!C21+'Inter-American'!C21+'Investment Life of America'!C21+'Kentucky Central'!C21+'London Pac'!C21+'Midwest Life'!C21+'Mutual Benefit'!C21+'Mutual Security'!C21+'National Affiliated'!C21+'Natl American'!C21+'New Jersey Life'!C21+'Old Colony Life'!C21+'Old Faithful'!C21+'Pacific Standard'!C21+'States General'!C21+Statesman!C21+'Summit National'!C21+Supreme!C21+Underwriters!C21+Unison!C21+'United Republic'!C21+Universe!C21</f>
        <v>6744107.1668082727</v>
      </c>
      <c r="D21" s="3">
        <f>+'Alabama Life'!D21+'American Chambers'!D21+'American Educators'!D21+'American Integrity'!D21+'Amer Life Asr'!D21+'Amer Std Life Acc'!D21+AmerWstrn!D21+'AMS Life'!D21+'Bankers Commercial'!D21+'Coastal States'!D21+'Confed Life (CLIC)'!D21+'Consolidated National'!D21+'Consumers United'!D21+'Corporate Life'!D21+'Diamond Benefits'!D21+'EBL Life'!D21+'Fidelity Bankers'!D21+'First Natl'!D21+'George Washington'!D21+'Guarantee Security'!D21+'Inter-American'!D21+'Investment Life of America'!D21+'Kentucky Central'!D21+'London Pac'!D21+'Midwest Life'!D21+'Mutual Benefit'!D21+'Mutual Security'!D21+'National Affiliated'!D21+'Natl American'!D21+'New Jersey Life'!D21+'Old Colony Life'!D21+'Old Faithful'!D21+'Pacific Standard'!D21+'States General'!D21+Statesman!D21+'Summit National'!D21+Supreme!D21+Underwriters!D21+Unison!D21+'United Republic'!D21+Universe!D21</f>
        <v>1140575.0837577761</v>
      </c>
      <c r="E21" s="3">
        <f>+'Alabama Life'!E21+'American Chambers'!E21+'American Educators'!E21+'American Integrity'!E21+'Amer Life Asr'!E21+'Amer Std Life Acc'!E21+AmerWstrn!E21+'AMS Life'!E21+'Bankers Commercial'!E21+'Coastal States'!E21+'Confed Life (CLIC)'!E21+'Consolidated National'!E21+'Consumers United'!E21+'Corporate Life'!E21+'Diamond Benefits'!E21+'EBL Life'!E21+'Fidelity Bankers'!E21+'First Natl'!E21+'George Washington'!E21+'Guarantee Security'!E21+'Inter-American'!E21+'Investment Life of America'!E21+'Kentucky Central'!E21+'London Pac'!E21+'Midwest Life'!E21+'Mutual Benefit'!E21+'Mutual Security'!E21+'National Affiliated'!E21+'Natl American'!E21+'New Jersey Life'!E21+'Old Colony Life'!E21+'Old Faithful'!E21+'Pacific Standard'!E21+'States General'!E21+Statesman!E21+'Summit National'!E21+Supreme!E21+Underwriters!E21+Unison!E21+'United Republic'!E21+Universe!E21</f>
        <v>20.917905749287456</v>
      </c>
      <c r="F21" s="3">
        <f t="shared" si="0"/>
        <v>12811450.110293986</v>
      </c>
      <c r="H21" t="s">
        <v>303</v>
      </c>
      <c r="I21" s="3">
        <f>+Summary!L70</f>
        <v>14323877.210000001</v>
      </c>
    </row>
    <row r="22" spans="1:9">
      <c r="A22" t="s">
        <v>16</v>
      </c>
      <c r="B22" s="3">
        <f>+'Alabama Life'!B22+'American Chambers'!B22+'American Educators'!B22+'American Integrity'!B22+'Amer Life Asr'!B22+'Amer Std Life Acc'!B22+AmerWstrn!B22+'AMS Life'!B22+'Bankers Commercial'!B22+'Coastal States'!B22+'Confed Life (CLIC)'!B22+'Consolidated National'!B22+'Consumers United'!B22+'Corporate Life'!B22+'Diamond Benefits'!B22+'EBL Life'!B22+'Fidelity Bankers'!B22+'First Natl'!B22+'George Washington'!B22+'Guarantee Security'!B22+'Inter-American'!B22+'Investment Life of America'!B22+'Kentucky Central'!B22+'London Pac'!B22+'Midwest Life'!B22+'Mutual Benefit'!B22+'Mutual Security'!B22+'National Affiliated'!B22+'Natl American'!B22+'New Jersey Life'!B22+'Old Colony Life'!B22+'Old Faithful'!B22+'Pacific Standard'!B22+'States General'!B22+Statesman!B22+'Summit National'!B22+Supreme!B22+Underwriters!B22+Unison!B22+'United Republic'!B22+Universe!B22</f>
        <v>1204902.638983395</v>
      </c>
      <c r="C22" s="3">
        <f>+'Alabama Life'!C22+'American Chambers'!C22+'American Educators'!C22+'American Integrity'!C22+'Amer Life Asr'!C22+'Amer Std Life Acc'!C22+AmerWstrn!C22+'AMS Life'!C22+'Bankers Commercial'!C22+'Coastal States'!C22+'Confed Life (CLIC)'!C22+'Consolidated National'!C22+'Consumers United'!C22+'Corporate Life'!C22+'Diamond Benefits'!C22+'EBL Life'!C22+'Fidelity Bankers'!C22+'First Natl'!C22+'George Washington'!C22+'Guarantee Security'!C22+'Inter-American'!C22+'Investment Life of America'!C22+'Kentucky Central'!C22+'London Pac'!C22+'Midwest Life'!C22+'Mutual Benefit'!C22+'Mutual Security'!C22+'National Affiliated'!C22+'Natl American'!C22+'New Jersey Life'!C22+'Old Colony Life'!C22+'Old Faithful'!C22+'Pacific Standard'!C22+'States General'!C22+Statesman!C22+'Summit National'!C22+Supreme!C22+Underwriters!C22+Unison!C22+'United Republic'!C22+Universe!C22</f>
        <v>5332100.9574248251</v>
      </c>
      <c r="D22" s="3">
        <f>+'Alabama Life'!D22+'American Chambers'!D22+'American Educators'!D22+'American Integrity'!D22+'Amer Life Asr'!D22+'Amer Std Life Acc'!D22+AmerWstrn!D22+'AMS Life'!D22+'Bankers Commercial'!D22+'Coastal States'!D22+'Confed Life (CLIC)'!D22+'Consolidated National'!D22+'Consumers United'!D22+'Corporate Life'!D22+'Diamond Benefits'!D22+'EBL Life'!D22+'Fidelity Bankers'!D22+'First Natl'!D22+'George Washington'!D22+'Guarantee Security'!D22+'Inter-American'!D22+'Investment Life of America'!D22+'Kentucky Central'!D22+'London Pac'!D22+'Midwest Life'!D22+'Mutual Benefit'!D22+'Mutual Security'!D22+'National Affiliated'!D22+'Natl American'!D22+'New Jersey Life'!D22+'Old Colony Life'!D22+'Old Faithful'!D22+'Pacific Standard'!D22+'States General'!D22+Statesman!D22+'Summit National'!D22+Supreme!D22+Underwriters!D22+Unison!D22+'United Republic'!D22+Universe!D22</f>
        <v>280294.90306243504</v>
      </c>
      <c r="E22" s="3">
        <f>+'Alabama Life'!E22+'American Chambers'!E22+'American Educators'!E22+'American Integrity'!E22+'Amer Life Asr'!E22+'Amer Std Life Acc'!E22+AmerWstrn!E22+'AMS Life'!E22+'Bankers Commercial'!E22+'Coastal States'!E22+'Confed Life (CLIC)'!E22+'Consolidated National'!E22+'Consumers United'!E22+'Corporate Life'!E22+'Diamond Benefits'!E22+'EBL Life'!E22+'Fidelity Bankers'!E22+'First Natl'!E22+'George Washington'!E22+'Guarantee Security'!E22+'Inter-American'!E22+'Investment Life of America'!E22+'Kentucky Central'!E22+'London Pac'!E22+'Midwest Life'!E22+'Mutual Benefit'!E22+'Mutual Security'!E22+'National Affiliated'!E22+'Natl American'!E22+'New Jersey Life'!E22+'Old Colony Life'!E22+'Old Faithful'!E22+'Pacific Standard'!E22+'States General'!E22+Statesman!E22+'Summit National'!E22+Supreme!E22+Underwriters!E22+Unison!E22+'United Republic'!E22+Universe!E22</f>
        <v>0</v>
      </c>
      <c r="F22" s="3">
        <f t="shared" si="0"/>
        <v>6817298.4994706549</v>
      </c>
      <c r="H22" t="s">
        <v>305</v>
      </c>
      <c r="I22" s="3">
        <f>+Summary!L71</f>
        <v>14424221.700000001</v>
      </c>
    </row>
    <row r="23" spans="1:9">
      <c r="A23" t="s">
        <v>17</v>
      </c>
      <c r="B23" s="3">
        <f>+'Alabama Life'!B23+'American Chambers'!B23+'American Educators'!B23+'American Integrity'!B23+'Amer Life Asr'!B23+'Amer Std Life Acc'!B23+AmerWstrn!B23+'AMS Life'!B23+'Bankers Commercial'!B23+'Coastal States'!B23+'Confed Life (CLIC)'!B23+'Consolidated National'!B23+'Consumers United'!B23+'Corporate Life'!B23+'Diamond Benefits'!B23+'EBL Life'!B23+'Fidelity Bankers'!B23+'First Natl'!B23+'George Washington'!B23+'Guarantee Security'!B23+'Inter-American'!B23+'Investment Life of America'!B23+'Kentucky Central'!B23+'London Pac'!B23+'Midwest Life'!B23+'Mutual Benefit'!B23+'Mutual Security'!B23+'National Affiliated'!B23+'Natl American'!B23+'New Jersey Life'!B23+'Old Colony Life'!B23+'Old Faithful'!B23+'Pacific Standard'!B23+'States General'!B23+Statesman!B23+'Summit National'!B23+Supreme!B23+Underwriters!B23+Unison!B23+'United Republic'!B23+Universe!B23</f>
        <v>1438557.8122824701</v>
      </c>
      <c r="C23" s="3">
        <f>+'Alabama Life'!C23+'American Chambers'!C23+'American Educators'!C23+'American Integrity'!C23+'Amer Life Asr'!C23+'Amer Std Life Acc'!C23+AmerWstrn!C23+'AMS Life'!C23+'Bankers Commercial'!C23+'Coastal States'!C23+'Confed Life (CLIC)'!C23+'Consolidated National'!C23+'Consumers United'!C23+'Corporate Life'!C23+'Diamond Benefits'!C23+'EBL Life'!C23+'Fidelity Bankers'!C23+'First Natl'!C23+'George Washington'!C23+'Guarantee Security'!C23+'Inter-American'!C23+'Investment Life of America'!C23+'Kentucky Central'!C23+'London Pac'!C23+'Midwest Life'!C23+'Mutual Benefit'!C23+'Mutual Security'!C23+'National Affiliated'!C23+'Natl American'!C23+'New Jersey Life'!C23+'Old Colony Life'!C23+'Old Faithful'!C23+'Pacific Standard'!C23+'States General'!C23+Statesman!C23+'Summit National'!C23+Supreme!C23+Underwriters!C23+Unison!C23+'United Republic'!C23+Universe!C23</f>
        <v>1891945.3373883972</v>
      </c>
      <c r="D23" s="3">
        <f>+'Alabama Life'!D23+'American Chambers'!D23+'American Educators'!D23+'American Integrity'!D23+'Amer Life Asr'!D23+'Amer Std Life Acc'!D23+AmerWstrn!D23+'AMS Life'!D23+'Bankers Commercial'!D23+'Coastal States'!D23+'Confed Life (CLIC)'!D23+'Consolidated National'!D23+'Consumers United'!D23+'Corporate Life'!D23+'Diamond Benefits'!D23+'EBL Life'!D23+'Fidelity Bankers'!D23+'First Natl'!D23+'George Washington'!D23+'Guarantee Security'!D23+'Inter-American'!D23+'Investment Life of America'!D23+'Kentucky Central'!D23+'London Pac'!D23+'Midwest Life'!D23+'Mutual Benefit'!D23+'Mutual Security'!D23+'National Affiliated'!D23+'Natl American'!D23+'New Jersey Life'!D23+'Old Colony Life'!D23+'Old Faithful'!D23+'Pacific Standard'!D23+'States General'!D23+Statesman!D23+'Summit National'!D23+Supreme!D23+Underwriters!D23+Unison!D23+'United Republic'!D23+Universe!D23</f>
        <v>1093288.3227853545</v>
      </c>
      <c r="E23" s="3">
        <f>+'Alabama Life'!E23+'American Chambers'!E23+'American Educators'!E23+'American Integrity'!E23+'Amer Life Asr'!E23+'Amer Std Life Acc'!E23+AmerWstrn!E23+'AMS Life'!E23+'Bankers Commercial'!E23+'Coastal States'!E23+'Confed Life (CLIC)'!E23+'Consolidated National'!E23+'Consumers United'!E23+'Corporate Life'!E23+'Diamond Benefits'!E23+'EBL Life'!E23+'Fidelity Bankers'!E23+'First Natl'!E23+'George Washington'!E23+'Guarantee Security'!E23+'Inter-American'!E23+'Investment Life of America'!E23+'Kentucky Central'!E23+'London Pac'!E23+'Midwest Life'!E23+'Mutual Benefit'!E23+'Mutual Security'!E23+'National Affiliated'!E23+'Natl American'!E23+'New Jersey Life'!E23+'Old Colony Life'!E23+'Old Faithful'!E23+'Pacific Standard'!E23+'States General'!E23+Statesman!E23+'Summit National'!E23+Supreme!E23+Underwriters!E23+Unison!E23+'United Republic'!E23+Universe!E23</f>
        <v>0</v>
      </c>
      <c r="F23" s="3">
        <f t="shared" si="0"/>
        <v>4423791.4724562215</v>
      </c>
      <c r="H23" t="s">
        <v>308</v>
      </c>
      <c r="I23" s="3">
        <f>+Summary!L72</f>
        <v>227653.36000000004</v>
      </c>
    </row>
    <row r="24" spans="1:9">
      <c r="A24" t="s">
        <v>18</v>
      </c>
      <c r="B24" s="3">
        <f>+'Alabama Life'!B24+'American Chambers'!B24+'American Educators'!B24+'American Integrity'!B24+'Amer Life Asr'!B24+'Amer Std Life Acc'!B24+AmerWstrn!B24+'AMS Life'!B24+'Bankers Commercial'!B24+'Coastal States'!B24+'Confed Life (CLIC)'!B24+'Consolidated National'!B24+'Consumers United'!B24+'Corporate Life'!B24+'Diamond Benefits'!B24+'EBL Life'!B24+'Fidelity Bankers'!B24+'First Natl'!B24+'George Washington'!B24+'Guarantee Security'!B24+'Inter-American'!B24+'Investment Life of America'!B24+'Kentucky Central'!B24+'London Pac'!B24+'Midwest Life'!B24+'Mutual Benefit'!B24+'Mutual Security'!B24+'National Affiliated'!B24+'Natl American'!B24+'New Jersey Life'!B24+'Old Colony Life'!B24+'Old Faithful'!B24+'Pacific Standard'!B24+'States General'!B24+Statesman!B24+'Summit National'!B24+Supreme!B24+Underwriters!B24+Unison!B24+'United Republic'!B24+Universe!B24</f>
        <v>1261985.8438112941</v>
      </c>
      <c r="C24" s="3">
        <f>+'Alabama Life'!C24+'American Chambers'!C24+'American Educators'!C24+'American Integrity'!C24+'Amer Life Asr'!C24+'Amer Std Life Acc'!C24+AmerWstrn!C24+'AMS Life'!C24+'Bankers Commercial'!C24+'Coastal States'!C24+'Confed Life (CLIC)'!C24+'Consolidated National'!C24+'Consumers United'!C24+'Corporate Life'!C24+'Diamond Benefits'!C24+'EBL Life'!C24+'Fidelity Bankers'!C24+'First Natl'!C24+'George Washington'!C24+'Guarantee Security'!C24+'Inter-American'!C24+'Investment Life of America'!C24+'Kentucky Central'!C24+'London Pac'!C24+'Midwest Life'!C24+'Mutual Benefit'!C24+'Mutual Security'!C24+'National Affiliated'!C24+'Natl American'!C24+'New Jersey Life'!C24+'Old Colony Life'!C24+'Old Faithful'!C24+'Pacific Standard'!C24+'States General'!C24+Statesman!C24+'Summit National'!C24+Supreme!C24+Underwriters!C24+Unison!C24+'United Republic'!C24+Universe!C24</f>
        <v>1767835.845188654</v>
      </c>
      <c r="D24" s="3">
        <f>+'Alabama Life'!D24+'American Chambers'!D24+'American Educators'!D24+'American Integrity'!D24+'Amer Life Asr'!D24+'Amer Std Life Acc'!D24+AmerWstrn!D24+'AMS Life'!D24+'Bankers Commercial'!D24+'Coastal States'!D24+'Confed Life (CLIC)'!D24+'Consolidated National'!D24+'Consumers United'!D24+'Corporate Life'!D24+'Diamond Benefits'!D24+'EBL Life'!D24+'Fidelity Bankers'!D24+'First Natl'!D24+'George Washington'!D24+'Guarantee Security'!D24+'Inter-American'!D24+'Investment Life of America'!D24+'Kentucky Central'!D24+'London Pac'!D24+'Midwest Life'!D24+'Mutual Benefit'!D24+'Mutual Security'!D24+'National Affiliated'!D24+'Natl American'!D24+'New Jersey Life'!D24+'Old Colony Life'!D24+'Old Faithful'!D24+'Pacific Standard'!D24+'States General'!D24+Statesman!D24+'Summit National'!D24+Supreme!D24+Underwriters!D24+Unison!D24+'United Republic'!D24+Universe!D24</f>
        <v>6234795.5947393132</v>
      </c>
      <c r="E24" s="3">
        <f>+'Alabama Life'!E24+'American Chambers'!E24+'American Educators'!E24+'American Integrity'!E24+'Amer Life Asr'!E24+'Amer Std Life Acc'!E24+AmerWstrn!E24+'AMS Life'!E24+'Bankers Commercial'!E24+'Coastal States'!E24+'Confed Life (CLIC)'!E24+'Consolidated National'!E24+'Consumers United'!E24+'Corporate Life'!E24+'Diamond Benefits'!E24+'EBL Life'!E24+'Fidelity Bankers'!E24+'First Natl'!E24+'George Washington'!E24+'Guarantee Security'!E24+'Inter-American'!E24+'Investment Life of America'!E24+'Kentucky Central'!E24+'London Pac'!E24+'Midwest Life'!E24+'Mutual Benefit'!E24+'Mutual Security'!E24+'National Affiliated'!E24+'Natl American'!E24+'New Jersey Life'!E24+'Old Colony Life'!E24+'Old Faithful'!E24+'Pacific Standard'!E24+'States General'!E24+Statesman!E24+'Summit National'!E24+Supreme!E24+Underwriters!E24+Unison!E24+'United Republic'!E24+Universe!E24</f>
        <v>0</v>
      </c>
      <c r="F24" s="3">
        <f t="shared" si="0"/>
        <v>9264617.2837392613</v>
      </c>
      <c r="H24" t="s">
        <v>310</v>
      </c>
      <c r="I24" s="3">
        <f>+Summary!L73</f>
        <v>1786129.8099999991</v>
      </c>
    </row>
    <row r="25" spans="1:9">
      <c r="A25" t="s">
        <v>19</v>
      </c>
      <c r="B25" s="3">
        <f>+'Alabama Life'!B25+'American Chambers'!B25+'American Educators'!B25+'American Integrity'!B25+'Amer Life Asr'!B25+'Amer Std Life Acc'!B25+AmerWstrn!B25+'AMS Life'!B25+'Bankers Commercial'!B25+'Coastal States'!B25+'Confed Life (CLIC)'!B25+'Consolidated National'!B25+'Consumers United'!B25+'Corporate Life'!B25+'Diamond Benefits'!B25+'EBL Life'!B25+'Fidelity Bankers'!B25+'First Natl'!B25+'George Washington'!B25+'Guarantee Security'!B25+'Inter-American'!B25+'Investment Life of America'!B25+'Kentucky Central'!B25+'London Pac'!B25+'Midwest Life'!B25+'Mutual Benefit'!B25+'Mutual Security'!B25+'National Affiliated'!B25+'Natl American'!B25+'New Jersey Life'!B25+'Old Colony Life'!B25+'Old Faithful'!B25+'Pacific Standard'!B25+'States General'!B25+Statesman!B25+'Summit National'!B25+Supreme!B25+Underwriters!B25+Unison!B25+'United Republic'!B25+Universe!B25</f>
        <v>583274.34020539059</v>
      </c>
      <c r="C25" s="3">
        <f>+'Alabama Life'!C25+'American Chambers'!C25+'American Educators'!C25+'American Integrity'!C25+'Amer Life Asr'!C25+'Amer Std Life Acc'!C25+AmerWstrn!C25+'AMS Life'!C25+'Bankers Commercial'!C25+'Coastal States'!C25+'Confed Life (CLIC)'!C25+'Consolidated National'!C25+'Consumers United'!C25+'Corporate Life'!C25+'Diamond Benefits'!C25+'EBL Life'!C25+'Fidelity Bankers'!C25+'First Natl'!C25+'George Washington'!C25+'Guarantee Security'!C25+'Inter-American'!C25+'Investment Life of America'!C25+'Kentucky Central'!C25+'London Pac'!C25+'Midwest Life'!C25+'Mutual Benefit'!C25+'Mutual Security'!C25+'National Affiliated'!C25+'Natl American'!C25+'New Jersey Life'!C25+'Old Colony Life'!C25+'Old Faithful'!C25+'Pacific Standard'!C25+'States General'!C25+Statesman!C25+'Summit National'!C25+Supreme!C25+Underwriters!C25+Unison!C25+'United Republic'!C25+Universe!C25</f>
        <v>554043.18255122541</v>
      </c>
      <c r="D25" s="3">
        <f>+'Alabama Life'!D25+'American Chambers'!D25+'American Educators'!D25+'American Integrity'!D25+'Amer Life Asr'!D25+'Amer Std Life Acc'!D25+AmerWstrn!D25+'AMS Life'!D25+'Bankers Commercial'!D25+'Coastal States'!D25+'Confed Life (CLIC)'!D25+'Consolidated National'!D25+'Consumers United'!D25+'Corporate Life'!D25+'Diamond Benefits'!D25+'EBL Life'!D25+'Fidelity Bankers'!D25+'First Natl'!D25+'George Washington'!D25+'Guarantee Security'!D25+'Inter-American'!D25+'Investment Life of America'!D25+'Kentucky Central'!D25+'London Pac'!D25+'Midwest Life'!D25+'Mutual Benefit'!D25+'Mutual Security'!D25+'National Affiliated'!D25+'Natl American'!D25+'New Jersey Life'!D25+'Old Colony Life'!D25+'Old Faithful'!D25+'Pacific Standard'!D25+'States General'!D25+Statesman!D25+'Summit National'!D25+Supreme!D25+Underwriters!D25+Unison!D25+'United Republic'!D25+Universe!D25</f>
        <v>54887.347005535448</v>
      </c>
      <c r="E25" s="3">
        <f>+'Alabama Life'!E25+'American Chambers'!E25+'American Educators'!E25+'American Integrity'!E25+'Amer Life Asr'!E25+'Amer Std Life Acc'!E25+AmerWstrn!E25+'AMS Life'!E25+'Bankers Commercial'!E25+'Coastal States'!E25+'Confed Life (CLIC)'!E25+'Consolidated National'!E25+'Consumers United'!E25+'Corporate Life'!E25+'Diamond Benefits'!E25+'EBL Life'!E25+'Fidelity Bankers'!E25+'First Natl'!E25+'George Washington'!E25+'Guarantee Security'!E25+'Inter-American'!E25+'Investment Life of America'!E25+'Kentucky Central'!E25+'London Pac'!E25+'Midwest Life'!E25+'Mutual Benefit'!E25+'Mutual Security'!E25+'National Affiliated'!E25+'Natl American'!E25+'New Jersey Life'!E25+'Old Colony Life'!E25+'Old Faithful'!E25+'Pacific Standard'!E25+'States General'!E25+Statesman!E25+'Summit National'!E25+Supreme!E25+Underwriters!E25+Unison!E25+'United Republic'!E25+Universe!E25</f>
        <v>62899.02870535438</v>
      </c>
      <c r="F25" s="3">
        <f t="shared" si="0"/>
        <v>1255103.8984675058</v>
      </c>
      <c r="H25" t="s">
        <v>313</v>
      </c>
      <c r="I25" s="3">
        <f>+Summary!L74</f>
        <v>106877009.03000002</v>
      </c>
    </row>
    <row r="26" spans="1:9">
      <c r="A26" t="s">
        <v>20</v>
      </c>
      <c r="B26" s="3">
        <f>+'Alabama Life'!B26+'American Chambers'!B26+'American Educators'!B26+'American Integrity'!B26+'Amer Life Asr'!B26+'Amer Std Life Acc'!B26+AmerWstrn!B26+'AMS Life'!B26+'Bankers Commercial'!B26+'Coastal States'!B26+'Confed Life (CLIC)'!B26+'Consolidated National'!B26+'Consumers United'!B26+'Corporate Life'!B26+'Diamond Benefits'!B26+'EBL Life'!B26+'Fidelity Bankers'!B26+'First Natl'!B26+'George Washington'!B26+'Guarantee Security'!B26+'Inter-American'!B26+'Investment Life of America'!B26+'Kentucky Central'!B26+'London Pac'!B26+'Midwest Life'!B26+'Mutual Benefit'!B26+'Mutual Security'!B26+'National Affiliated'!B26+'Natl American'!B26+'New Jersey Life'!B26+'Old Colony Life'!B26+'Old Faithful'!B26+'Pacific Standard'!B26+'States General'!B26+Statesman!B26+'Summit National'!B26+Supreme!B26+Underwriters!B26+Unison!B26+'United Republic'!B26+Universe!B26</f>
        <v>1863506.9074374516</v>
      </c>
      <c r="C26" s="3">
        <f>+'Alabama Life'!C26+'American Chambers'!C26+'American Educators'!C26+'American Integrity'!C26+'Amer Life Asr'!C26+'Amer Std Life Acc'!C26+AmerWstrn!C26+'AMS Life'!C26+'Bankers Commercial'!C26+'Coastal States'!C26+'Confed Life (CLIC)'!C26+'Consolidated National'!C26+'Consumers United'!C26+'Corporate Life'!C26+'Diamond Benefits'!C26+'EBL Life'!C26+'Fidelity Bankers'!C26+'First Natl'!C26+'George Washington'!C26+'Guarantee Security'!C26+'Inter-American'!C26+'Investment Life of America'!C26+'Kentucky Central'!C26+'London Pac'!C26+'Midwest Life'!C26+'Mutual Benefit'!C26+'Mutual Security'!C26+'National Affiliated'!C26+'Natl American'!C26+'New Jersey Life'!C26+'Old Colony Life'!C26+'Old Faithful'!C26+'Pacific Standard'!C26+'States General'!C26+Statesman!C26+'Summit National'!C26+Supreme!C26+Underwriters!C26+Unison!C26+'United Republic'!C26+Universe!C26</f>
        <v>5171942.9515864206</v>
      </c>
      <c r="D26" s="3">
        <f>+'Alabama Life'!D26+'American Chambers'!D26+'American Educators'!D26+'American Integrity'!D26+'Amer Life Asr'!D26+'Amer Std Life Acc'!D26+AmerWstrn!D26+'AMS Life'!D26+'Bankers Commercial'!D26+'Coastal States'!D26+'Confed Life (CLIC)'!D26+'Consolidated National'!D26+'Consumers United'!D26+'Corporate Life'!D26+'Diamond Benefits'!D26+'EBL Life'!D26+'Fidelity Bankers'!D26+'First Natl'!D26+'George Washington'!D26+'Guarantee Security'!D26+'Inter-American'!D26+'Investment Life of America'!D26+'Kentucky Central'!D26+'London Pac'!D26+'Midwest Life'!D26+'Mutual Benefit'!D26+'Mutual Security'!D26+'National Affiliated'!D26+'Natl American'!D26+'New Jersey Life'!D26+'Old Colony Life'!D26+'Old Faithful'!D26+'Pacific Standard'!D26+'States General'!D26+Statesman!D26+'Summit National'!D26+Supreme!D26+Underwriters!D26+Unison!D26+'United Republic'!D26+Universe!D26</f>
        <v>470015.64057365619</v>
      </c>
      <c r="E26" s="3">
        <f>+'Alabama Life'!E26+'American Chambers'!E26+'American Educators'!E26+'American Integrity'!E26+'Amer Life Asr'!E26+'Amer Std Life Acc'!E26+AmerWstrn!E26+'AMS Life'!E26+'Bankers Commercial'!E26+'Coastal States'!E26+'Confed Life (CLIC)'!E26+'Consolidated National'!E26+'Consumers United'!E26+'Corporate Life'!E26+'Diamond Benefits'!E26+'EBL Life'!E26+'Fidelity Bankers'!E26+'First Natl'!E26+'George Washington'!E26+'Guarantee Security'!E26+'Inter-American'!E26+'Investment Life of America'!E26+'Kentucky Central'!E26+'London Pac'!E26+'Midwest Life'!E26+'Mutual Benefit'!E26+'Mutual Security'!E26+'National Affiliated'!E26+'Natl American'!E26+'New Jersey Life'!E26+'Old Colony Life'!E26+'Old Faithful'!E26+'Pacific Standard'!E26+'States General'!E26+Statesman!E26+'Summit National'!E26+Supreme!E26+Underwriters!E26+Unison!E26+'United Republic'!E26+Universe!E26</f>
        <v>484.00415354128927</v>
      </c>
      <c r="F26" s="3">
        <f t="shared" si="0"/>
        <v>7505949.5037510702</v>
      </c>
      <c r="H26" t="s">
        <v>315</v>
      </c>
      <c r="I26" s="3">
        <f>+Summary!L75</f>
        <v>107771884.28932653</v>
      </c>
    </row>
    <row r="27" spans="1:9">
      <c r="A27" t="s">
        <v>21</v>
      </c>
      <c r="B27" s="3">
        <f>+'Alabama Life'!B27+'American Chambers'!B27+'American Educators'!B27+'American Integrity'!B27+'Amer Life Asr'!B27+'Amer Std Life Acc'!B27+AmerWstrn!B27+'AMS Life'!B27+'Bankers Commercial'!B27+'Coastal States'!B27+'Confed Life (CLIC)'!B27+'Consolidated National'!B27+'Consumers United'!B27+'Corporate Life'!B27+'Diamond Benefits'!B27+'EBL Life'!B27+'Fidelity Bankers'!B27+'First Natl'!B27+'George Washington'!B27+'Guarantee Security'!B27+'Inter-American'!B27+'Investment Life of America'!B27+'Kentucky Central'!B27+'London Pac'!B27+'Midwest Life'!B27+'Mutual Benefit'!B27+'Mutual Security'!B27+'National Affiliated'!B27+'Natl American'!B27+'New Jersey Life'!B27+'Old Colony Life'!B27+'Old Faithful'!B27+'Pacific Standard'!B27+'States General'!B27+Statesman!B27+'Summit National'!B27+Supreme!B27+Underwriters!B27+Unison!B27+'United Republic'!B27+Universe!B27</f>
        <v>3547683.34337229</v>
      </c>
      <c r="C27" s="3">
        <f>+'Alabama Life'!C27+'American Chambers'!C27+'American Educators'!C27+'American Integrity'!C27+'Amer Life Asr'!C27+'Amer Std Life Acc'!C27+AmerWstrn!C27+'AMS Life'!C27+'Bankers Commercial'!C27+'Coastal States'!C27+'Confed Life (CLIC)'!C27+'Consolidated National'!C27+'Consumers United'!C27+'Corporate Life'!C27+'Diamond Benefits'!C27+'EBL Life'!C27+'Fidelity Bankers'!C27+'First Natl'!C27+'George Washington'!C27+'Guarantee Security'!C27+'Inter-American'!C27+'Investment Life of America'!C27+'Kentucky Central'!C27+'London Pac'!C27+'Midwest Life'!C27+'Mutual Benefit'!C27+'Mutual Security'!C27+'National Affiliated'!C27+'Natl American'!C27+'New Jersey Life'!C27+'Old Colony Life'!C27+'Old Faithful'!C27+'Pacific Standard'!C27+'States General'!C27+Statesman!C27+'Summit National'!C27+Supreme!C27+Underwriters!C27+Unison!C27+'United Republic'!C27+Universe!C27</f>
        <v>3177865.4975758796</v>
      </c>
      <c r="D27" s="3">
        <f>+'Alabama Life'!D27+'American Chambers'!D27+'American Educators'!D27+'American Integrity'!D27+'Amer Life Asr'!D27+'Amer Std Life Acc'!D27+AmerWstrn!D27+'AMS Life'!D27+'Bankers Commercial'!D27+'Coastal States'!D27+'Confed Life (CLIC)'!D27+'Consolidated National'!D27+'Consumers United'!D27+'Corporate Life'!D27+'Diamond Benefits'!D27+'EBL Life'!D27+'Fidelity Bankers'!D27+'First Natl'!D27+'George Washington'!D27+'Guarantee Security'!D27+'Inter-American'!D27+'Investment Life of America'!D27+'Kentucky Central'!D27+'London Pac'!D27+'Midwest Life'!D27+'Mutual Benefit'!D27+'Mutual Security'!D27+'National Affiliated'!D27+'Natl American'!D27+'New Jersey Life'!D27+'Old Colony Life'!D27+'Old Faithful'!D27+'Pacific Standard'!D27+'States General'!D27+Statesman!D27+'Summit National'!D27+Supreme!D27+Underwriters!D27+Unison!D27+'United Republic'!D27+Universe!D27</f>
        <v>1633190.416290676</v>
      </c>
      <c r="E27" s="3">
        <f>+'Alabama Life'!E27+'American Chambers'!E27+'American Educators'!E27+'American Integrity'!E27+'Amer Life Asr'!E27+'Amer Std Life Acc'!E27+AmerWstrn!E27+'AMS Life'!E27+'Bankers Commercial'!E27+'Coastal States'!E27+'Confed Life (CLIC)'!E27+'Consolidated National'!E27+'Consumers United'!E27+'Corporate Life'!E27+'Diamond Benefits'!E27+'EBL Life'!E27+'Fidelity Bankers'!E27+'First Natl'!E27+'George Washington'!E27+'Guarantee Security'!E27+'Inter-American'!E27+'Investment Life of America'!E27+'Kentucky Central'!E27+'London Pac'!E27+'Midwest Life'!E27+'Mutual Benefit'!E27+'Mutual Security'!E27+'National Affiliated'!E27+'Natl American'!E27+'New Jersey Life'!E27+'Old Colony Life'!E27+'Old Faithful'!E27+'Pacific Standard'!E27+'States General'!E27+Statesman!E27+'Summit National'!E27+Supreme!E27+Underwriters!E27+Unison!E27+'United Republic'!E27+Universe!E27</f>
        <v>0</v>
      </c>
      <c r="F27" s="3">
        <f t="shared" si="0"/>
        <v>8358739.2572388463</v>
      </c>
      <c r="H27" t="s">
        <v>317</v>
      </c>
      <c r="I27" s="3">
        <f>+Summary!L76</f>
        <v>15753537.594517082</v>
      </c>
    </row>
    <row r="28" spans="1:9">
      <c r="A28" t="s">
        <v>22</v>
      </c>
      <c r="B28" s="3">
        <f>+'Alabama Life'!B28+'American Chambers'!B28+'American Educators'!B28+'American Integrity'!B28+'Amer Life Asr'!B28+'Amer Std Life Acc'!B28+AmerWstrn!B28+'AMS Life'!B28+'Bankers Commercial'!B28+'Coastal States'!B28+'Confed Life (CLIC)'!B28+'Consolidated National'!B28+'Consumers United'!B28+'Corporate Life'!B28+'Diamond Benefits'!B28+'EBL Life'!B28+'Fidelity Bankers'!B28+'First Natl'!B28+'George Washington'!B28+'Guarantee Security'!B28+'Inter-American'!B28+'Investment Life of America'!B28+'Kentucky Central'!B28+'London Pac'!B28+'Midwest Life'!B28+'Mutual Benefit'!B28+'Mutual Security'!B28+'National Affiliated'!B28+'Natl American'!B28+'New Jersey Life'!B28+'Old Colony Life'!B28+'Old Faithful'!B28+'Pacific Standard'!B28+'States General'!B28+Statesman!B28+'Summit National'!B28+Supreme!B28+Underwriters!B28+Unison!B28+'United Republic'!B28+Universe!B28</f>
        <v>9138688.62995621</v>
      </c>
      <c r="C28" s="3">
        <f>+'Alabama Life'!C28+'American Chambers'!C28+'American Educators'!C28+'American Integrity'!C28+'Amer Life Asr'!C28+'Amer Std Life Acc'!C28+AmerWstrn!C28+'AMS Life'!C28+'Bankers Commercial'!C28+'Coastal States'!C28+'Confed Life (CLIC)'!C28+'Consolidated National'!C28+'Consumers United'!C28+'Corporate Life'!C28+'Diamond Benefits'!C28+'EBL Life'!C28+'Fidelity Bankers'!C28+'First Natl'!C28+'George Washington'!C28+'Guarantee Security'!C28+'Inter-American'!C28+'Investment Life of America'!C28+'Kentucky Central'!C28+'London Pac'!C28+'Midwest Life'!C28+'Mutual Benefit'!C28+'Mutual Security'!C28+'National Affiliated'!C28+'Natl American'!C28+'New Jersey Life'!C28+'Old Colony Life'!C28+'Old Faithful'!C28+'Pacific Standard'!C28+'States General'!C28+Statesman!C28+'Summit National'!C28+Supreme!C28+Underwriters!C28+Unison!C28+'United Republic'!C28+Universe!C28</f>
        <v>15235550.544643298</v>
      </c>
      <c r="D28" s="3">
        <f>+'Alabama Life'!D28+'American Chambers'!D28+'American Educators'!D28+'American Integrity'!D28+'Amer Life Asr'!D28+'Amer Std Life Acc'!D28+AmerWstrn!D28+'AMS Life'!D28+'Bankers Commercial'!D28+'Coastal States'!D28+'Confed Life (CLIC)'!D28+'Consolidated National'!D28+'Consumers United'!D28+'Corporate Life'!D28+'Diamond Benefits'!D28+'EBL Life'!D28+'Fidelity Bankers'!D28+'First Natl'!D28+'George Washington'!D28+'Guarantee Security'!D28+'Inter-American'!D28+'Investment Life of America'!D28+'Kentucky Central'!D28+'London Pac'!D28+'Midwest Life'!D28+'Mutual Benefit'!D28+'Mutual Security'!D28+'National Affiliated'!D28+'Natl American'!D28+'New Jersey Life'!D28+'Old Colony Life'!D28+'Old Faithful'!D28+'Pacific Standard'!D28+'States General'!D28+Statesman!D28+'Summit National'!D28+Supreme!D28+Underwriters!D28+Unison!D28+'United Republic'!D28+Universe!D28</f>
        <v>299708.23890553706</v>
      </c>
      <c r="E28" s="3">
        <f>+'Alabama Life'!E28+'American Chambers'!E28+'American Educators'!E28+'American Integrity'!E28+'Amer Life Asr'!E28+'Amer Std Life Acc'!E28+AmerWstrn!E28+'AMS Life'!E28+'Bankers Commercial'!E28+'Coastal States'!E28+'Confed Life (CLIC)'!E28+'Consolidated National'!E28+'Consumers United'!E28+'Corporate Life'!E28+'Diamond Benefits'!E28+'EBL Life'!E28+'Fidelity Bankers'!E28+'First Natl'!E28+'George Washington'!E28+'Guarantee Security'!E28+'Inter-American'!E28+'Investment Life of America'!E28+'Kentucky Central'!E28+'London Pac'!E28+'Midwest Life'!E28+'Mutual Benefit'!E28+'Mutual Security'!E28+'National Affiliated'!E28+'Natl American'!E28+'New Jersey Life'!E28+'Old Colony Life'!E28+'Old Faithful'!E28+'Pacific Standard'!E28+'States General'!E28+Statesman!E28+'Summit National'!E28+Supreme!E28+Underwriters!E28+Unison!E28+'United Republic'!E28+Universe!E28</f>
        <v>3378271.5479712202</v>
      </c>
      <c r="F28" s="3">
        <f t="shared" si="0"/>
        <v>28052218.961476263</v>
      </c>
      <c r="H28" t="s">
        <v>320</v>
      </c>
      <c r="I28" s="3">
        <f>+Summary!L77</f>
        <v>-12548771.99949999</v>
      </c>
    </row>
    <row r="29" spans="1:9">
      <c r="A29" t="s">
        <v>23</v>
      </c>
      <c r="B29" s="3">
        <f>+'Alabama Life'!B29+'American Chambers'!B29+'American Educators'!B29+'American Integrity'!B29+'Amer Life Asr'!B29+'Amer Std Life Acc'!B29+AmerWstrn!B29+'AMS Life'!B29+'Bankers Commercial'!B29+'Coastal States'!B29+'Confed Life (CLIC)'!B29+'Consolidated National'!B29+'Consumers United'!B29+'Corporate Life'!B29+'Diamond Benefits'!B29+'EBL Life'!B29+'Fidelity Bankers'!B29+'First Natl'!B29+'George Washington'!B29+'Guarantee Security'!B29+'Inter-American'!B29+'Investment Life of America'!B29+'Kentucky Central'!B29+'London Pac'!B29+'Midwest Life'!B29+'Mutual Benefit'!B29+'Mutual Security'!B29+'National Affiliated'!B29+'Natl American'!B29+'New Jersey Life'!B29+'Old Colony Life'!B29+'Old Faithful'!B29+'Pacific Standard'!B29+'States General'!B29+Statesman!B29+'Summit National'!B29+Supreme!B29+Underwriters!B29+Unison!B29+'United Republic'!B29+Universe!B29</f>
        <v>2736416.2127494416</v>
      </c>
      <c r="C29" s="3">
        <f>+'Alabama Life'!C29+'American Chambers'!C29+'American Educators'!C29+'American Integrity'!C29+'Amer Life Asr'!C29+'Amer Std Life Acc'!C29+AmerWstrn!C29+'AMS Life'!C29+'Bankers Commercial'!C29+'Coastal States'!C29+'Confed Life (CLIC)'!C29+'Consolidated National'!C29+'Consumers United'!C29+'Corporate Life'!C29+'Diamond Benefits'!C29+'EBL Life'!C29+'Fidelity Bankers'!C29+'First Natl'!C29+'George Washington'!C29+'Guarantee Security'!C29+'Inter-American'!C29+'Investment Life of America'!C29+'Kentucky Central'!C29+'London Pac'!C29+'Midwest Life'!C29+'Mutual Benefit'!C29+'Mutual Security'!C29+'National Affiliated'!C29+'Natl American'!C29+'New Jersey Life'!C29+'Old Colony Life'!C29+'Old Faithful'!C29+'Pacific Standard'!C29+'States General'!C29+Statesman!C29+'Summit National'!C29+Supreme!C29+Underwriters!C29+Unison!C29+'United Republic'!C29+Universe!C29</f>
        <v>23387594.957742047</v>
      </c>
      <c r="D29" s="3">
        <f>+'Alabama Life'!D29+'American Chambers'!D29+'American Educators'!D29+'American Integrity'!D29+'Amer Life Asr'!D29+'Amer Std Life Acc'!D29+AmerWstrn!D29+'AMS Life'!D29+'Bankers Commercial'!D29+'Coastal States'!D29+'Confed Life (CLIC)'!D29+'Consolidated National'!D29+'Consumers United'!D29+'Corporate Life'!D29+'Diamond Benefits'!D29+'EBL Life'!D29+'Fidelity Bankers'!D29+'First Natl'!D29+'George Washington'!D29+'Guarantee Security'!D29+'Inter-American'!D29+'Investment Life of America'!D29+'Kentucky Central'!D29+'London Pac'!D29+'Midwest Life'!D29+'Mutual Benefit'!D29+'Mutual Security'!D29+'National Affiliated'!D29+'Natl American'!D29+'New Jersey Life'!D29+'Old Colony Life'!D29+'Old Faithful'!D29+'Pacific Standard'!D29+'States General'!D29+Statesman!D29+'Summit National'!D29+Supreme!D29+Underwriters!D29+Unison!D29+'United Republic'!D29+Universe!D29</f>
        <v>287434.09927143867</v>
      </c>
      <c r="E29" s="3">
        <f>+'Alabama Life'!E29+'American Chambers'!E29+'American Educators'!E29+'American Integrity'!E29+'Amer Life Asr'!E29+'Amer Std Life Acc'!E29+AmerWstrn!E29+'AMS Life'!E29+'Bankers Commercial'!E29+'Coastal States'!E29+'Confed Life (CLIC)'!E29+'Consolidated National'!E29+'Consumers United'!E29+'Corporate Life'!E29+'Diamond Benefits'!E29+'EBL Life'!E29+'Fidelity Bankers'!E29+'First Natl'!E29+'George Washington'!E29+'Guarantee Security'!E29+'Inter-American'!E29+'Investment Life of America'!E29+'Kentucky Central'!E29+'London Pac'!E29+'Midwest Life'!E29+'Mutual Benefit'!E29+'Mutual Security'!E29+'National Affiliated'!E29+'Natl American'!E29+'New Jersey Life'!E29+'Old Colony Life'!E29+'Old Faithful'!E29+'Pacific Standard'!E29+'States General'!E29+Statesman!E29+'Summit National'!E29+Supreme!E29+Underwriters!E29+Unison!E29+'United Republic'!E29+Universe!E29</f>
        <v>2505719.7959961751</v>
      </c>
      <c r="F29" s="3">
        <f t="shared" si="0"/>
        <v>28917165.0657591</v>
      </c>
      <c r="H29" t="s">
        <v>323</v>
      </c>
      <c r="I29" s="3">
        <f>+Summary!L78</f>
        <v>0</v>
      </c>
    </row>
    <row r="30" spans="1:9">
      <c r="A30" t="s">
        <v>24</v>
      </c>
      <c r="B30" s="3">
        <f>+'Alabama Life'!B30+'American Chambers'!B30+'American Educators'!B30+'American Integrity'!B30+'Amer Life Asr'!B30+'Amer Std Life Acc'!B30+AmerWstrn!B30+'AMS Life'!B30+'Bankers Commercial'!B30+'Coastal States'!B30+'Confed Life (CLIC)'!B30+'Consolidated National'!B30+'Consumers United'!B30+'Corporate Life'!B30+'Diamond Benefits'!B30+'EBL Life'!B30+'Fidelity Bankers'!B30+'First Natl'!B30+'George Washington'!B30+'Guarantee Security'!B30+'Inter-American'!B30+'Investment Life of America'!B30+'Kentucky Central'!B30+'London Pac'!B30+'Midwest Life'!B30+'Mutual Benefit'!B30+'Mutual Security'!B30+'National Affiliated'!B30+'Natl American'!B30+'New Jersey Life'!B30+'Old Colony Life'!B30+'Old Faithful'!B30+'Pacific Standard'!B30+'States General'!B30+Statesman!B30+'Summit National'!B30+Supreme!B30+Underwriters!B30+Unison!B30+'United Republic'!B30+Universe!B30</f>
        <v>675981.62808427925</v>
      </c>
      <c r="C30" s="3">
        <f>+'Alabama Life'!C30+'American Chambers'!C30+'American Educators'!C30+'American Integrity'!C30+'Amer Life Asr'!C30+'Amer Std Life Acc'!C30+AmerWstrn!C30+'AMS Life'!C30+'Bankers Commercial'!C30+'Coastal States'!C30+'Confed Life (CLIC)'!C30+'Consolidated National'!C30+'Consumers United'!C30+'Corporate Life'!C30+'Diamond Benefits'!C30+'EBL Life'!C30+'Fidelity Bankers'!C30+'First Natl'!C30+'George Washington'!C30+'Guarantee Security'!C30+'Inter-American'!C30+'Investment Life of America'!C30+'Kentucky Central'!C30+'London Pac'!C30+'Midwest Life'!C30+'Mutual Benefit'!C30+'Mutual Security'!C30+'National Affiliated'!C30+'Natl American'!C30+'New Jersey Life'!C30+'Old Colony Life'!C30+'Old Faithful'!C30+'Pacific Standard'!C30+'States General'!C30+Statesman!C30+'Summit National'!C30+Supreme!C30+Underwriters!C30+Unison!C30+'United Republic'!C30+Universe!C30</f>
        <v>1260807.1380432462</v>
      </c>
      <c r="D30" s="3">
        <f>+'Alabama Life'!D30+'American Chambers'!D30+'American Educators'!D30+'American Integrity'!D30+'Amer Life Asr'!D30+'Amer Std Life Acc'!D30+AmerWstrn!D30+'AMS Life'!D30+'Bankers Commercial'!D30+'Coastal States'!D30+'Confed Life (CLIC)'!D30+'Consolidated National'!D30+'Consumers United'!D30+'Corporate Life'!D30+'Diamond Benefits'!D30+'EBL Life'!D30+'Fidelity Bankers'!D30+'First Natl'!D30+'George Washington'!D30+'Guarantee Security'!D30+'Inter-American'!D30+'Investment Life of America'!D30+'Kentucky Central'!D30+'London Pac'!D30+'Midwest Life'!D30+'Mutual Benefit'!D30+'Mutual Security'!D30+'National Affiliated'!D30+'Natl American'!D30+'New Jersey Life'!D30+'Old Colony Life'!D30+'Old Faithful'!D30+'Pacific Standard'!D30+'States General'!D30+Statesman!D30+'Summit National'!D30+Supreme!D30+Underwriters!D30+Unison!D30+'United Republic'!D30+Universe!D30</f>
        <v>5171119.808749429</v>
      </c>
      <c r="E30" s="3">
        <f>+'Alabama Life'!E30+'American Chambers'!E30+'American Educators'!E30+'American Integrity'!E30+'Amer Life Asr'!E30+'Amer Std Life Acc'!E30+AmerWstrn!E30+'AMS Life'!E30+'Bankers Commercial'!E30+'Coastal States'!E30+'Confed Life (CLIC)'!E30+'Consolidated National'!E30+'Consumers United'!E30+'Corporate Life'!E30+'Diamond Benefits'!E30+'EBL Life'!E30+'Fidelity Bankers'!E30+'First Natl'!E30+'George Washington'!E30+'Guarantee Security'!E30+'Inter-American'!E30+'Investment Life of America'!E30+'Kentucky Central'!E30+'London Pac'!E30+'Midwest Life'!E30+'Mutual Benefit'!E30+'Mutual Security'!E30+'National Affiliated'!E30+'Natl American'!E30+'New Jersey Life'!E30+'Old Colony Life'!E30+'Old Faithful'!E30+'Pacific Standard'!E30+'States General'!E30+Statesman!E30+'Summit National'!E30+Supreme!E30+Underwriters!E30+Unison!E30+'United Republic'!E30+Universe!E30</f>
        <v>80.885647323331796</v>
      </c>
      <c r="F30" s="3">
        <f t="shared" si="0"/>
        <v>7107989.4605242778</v>
      </c>
      <c r="H30" t="s">
        <v>326</v>
      </c>
      <c r="I30" s="3">
        <f>+Summary!L79</f>
        <v>96377518.827000171</v>
      </c>
    </row>
    <row r="31" spans="1:9">
      <c r="A31" t="s">
        <v>25</v>
      </c>
      <c r="B31" s="3">
        <f>+'Alabama Life'!B31+'American Chambers'!B31+'American Educators'!B31+'American Integrity'!B31+'Amer Life Asr'!B31+'Amer Std Life Acc'!B31+AmerWstrn!B31+'AMS Life'!B31+'Bankers Commercial'!B31+'Coastal States'!B31+'Confed Life (CLIC)'!B31+'Consolidated National'!B31+'Consumers United'!B31+'Corporate Life'!B31+'Diamond Benefits'!B31+'EBL Life'!B31+'Fidelity Bankers'!B31+'First Natl'!B31+'George Washington'!B31+'Guarantee Security'!B31+'Inter-American'!B31+'Investment Life of America'!B31+'Kentucky Central'!B31+'London Pac'!B31+'Midwest Life'!B31+'Mutual Benefit'!B31+'Mutual Security'!B31+'National Affiliated'!B31+'Natl American'!B31+'New Jersey Life'!B31+'Old Colony Life'!B31+'Old Faithful'!B31+'Pacific Standard'!B31+'States General'!B31+Statesman!B31+'Summit National'!B31+Supreme!B31+Underwriters!B31+Unison!B31+'United Republic'!B31+Universe!B31</f>
        <v>2472677.7443537833</v>
      </c>
      <c r="C31" s="3">
        <f>+'Alabama Life'!C31+'American Chambers'!C31+'American Educators'!C31+'American Integrity'!C31+'Amer Life Asr'!C31+'Amer Std Life Acc'!C31+AmerWstrn!C31+'AMS Life'!C31+'Bankers Commercial'!C31+'Coastal States'!C31+'Confed Life (CLIC)'!C31+'Consolidated National'!C31+'Consumers United'!C31+'Corporate Life'!C31+'Diamond Benefits'!C31+'EBL Life'!C31+'Fidelity Bankers'!C31+'First Natl'!C31+'George Washington'!C31+'Guarantee Security'!C31+'Inter-American'!C31+'Investment Life of America'!C31+'Kentucky Central'!C31+'London Pac'!C31+'Midwest Life'!C31+'Mutual Benefit'!C31+'Mutual Security'!C31+'National Affiliated'!C31+'Natl American'!C31+'New Jersey Life'!C31+'Old Colony Life'!C31+'Old Faithful'!C31+'Pacific Standard'!C31+'States General'!C31+Statesman!C31+'Summit National'!C31+Supreme!C31+Underwriters!C31+Unison!C31+'United Republic'!C31+Universe!C31</f>
        <v>7208433.2410164401</v>
      </c>
      <c r="D31" s="3">
        <f>+'Alabama Life'!D31+'American Chambers'!D31+'American Educators'!D31+'American Integrity'!D31+'Amer Life Asr'!D31+'Amer Std Life Acc'!D31+AmerWstrn!D31+'AMS Life'!D31+'Bankers Commercial'!D31+'Coastal States'!D31+'Confed Life (CLIC)'!D31+'Consolidated National'!D31+'Consumers United'!D31+'Corporate Life'!D31+'Diamond Benefits'!D31+'EBL Life'!D31+'Fidelity Bankers'!D31+'First Natl'!D31+'George Washington'!D31+'Guarantee Security'!D31+'Inter-American'!D31+'Investment Life of America'!D31+'Kentucky Central'!D31+'London Pac'!D31+'Midwest Life'!D31+'Mutual Benefit'!D31+'Mutual Security'!D31+'National Affiliated'!D31+'Natl American'!D31+'New Jersey Life'!D31+'Old Colony Life'!D31+'Old Faithful'!D31+'Pacific Standard'!D31+'States General'!D31+Statesman!D31+'Summit National'!D31+Supreme!D31+Underwriters!D31+Unison!D31+'United Republic'!D31+Universe!D31</f>
        <v>3206743.429328003</v>
      </c>
      <c r="E31" s="3">
        <f>+'Alabama Life'!E31+'American Chambers'!E31+'American Educators'!E31+'American Integrity'!E31+'Amer Life Asr'!E31+'Amer Std Life Acc'!E31+AmerWstrn!E31+'AMS Life'!E31+'Bankers Commercial'!E31+'Coastal States'!E31+'Confed Life (CLIC)'!E31+'Consolidated National'!E31+'Consumers United'!E31+'Corporate Life'!E31+'Diamond Benefits'!E31+'EBL Life'!E31+'Fidelity Bankers'!E31+'First Natl'!E31+'George Washington'!E31+'Guarantee Security'!E31+'Inter-American'!E31+'Investment Life of America'!E31+'Kentucky Central'!E31+'London Pac'!E31+'Midwest Life'!E31+'Mutual Benefit'!E31+'Mutual Security'!E31+'National Affiliated'!E31+'Natl American'!E31+'New Jersey Life'!E31+'Old Colony Life'!E31+'Old Faithful'!E31+'Pacific Standard'!E31+'States General'!E31+Statesman!E31+'Summit National'!E31+Supreme!E31+Underwriters!E31+Unison!E31+'United Republic'!E31+Universe!E31</f>
        <v>29057.635525538732</v>
      </c>
      <c r="F31" s="3">
        <f t="shared" si="0"/>
        <v>12916912.050223764</v>
      </c>
      <c r="H31" t="s">
        <v>328</v>
      </c>
      <c r="I31" s="3">
        <f>+Summary!L80</f>
        <v>33035323.493999999</v>
      </c>
    </row>
    <row r="32" spans="1:9">
      <c r="A32" t="s">
        <v>26</v>
      </c>
      <c r="B32" s="3">
        <f>+'Alabama Life'!B32+'American Chambers'!B32+'American Educators'!B32+'American Integrity'!B32+'Amer Life Asr'!B32+'Amer Std Life Acc'!B32+AmerWstrn!B32+'AMS Life'!B32+'Bankers Commercial'!B32+'Coastal States'!B32+'Confed Life (CLIC)'!B32+'Consolidated National'!B32+'Consumers United'!B32+'Corporate Life'!B32+'Diamond Benefits'!B32+'EBL Life'!B32+'Fidelity Bankers'!B32+'First Natl'!B32+'George Washington'!B32+'Guarantee Security'!B32+'Inter-American'!B32+'Investment Life of America'!B32+'Kentucky Central'!B32+'London Pac'!B32+'Midwest Life'!B32+'Mutual Benefit'!B32+'Mutual Security'!B32+'National Affiliated'!B32+'Natl American'!B32+'New Jersey Life'!B32+'Old Colony Life'!B32+'Old Faithful'!B32+'Pacific Standard'!B32+'States General'!B32+Statesman!B32+'Summit National'!B32+Supreme!B32+Underwriters!B32+Unison!B32+'United Republic'!B32+Universe!B32</f>
        <v>713324.64107916469</v>
      </c>
      <c r="C32" s="3">
        <f>+'Alabama Life'!C32+'American Chambers'!C32+'American Educators'!C32+'American Integrity'!C32+'Amer Life Asr'!C32+'Amer Std Life Acc'!C32+AmerWstrn!C32+'AMS Life'!C32+'Bankers Commercial'!C32+'Coastal States'!C32+'Confed Life (CLIC)'!C32+'Consolidated National'!C32+'Consumers United'!C32+'Corporate Life'!C32+'Diamond Benefits'!C32+'EBL Life'!C32+'Fidelity Bankers'!C32+'First Natl'!C32+'George Washington'!C32+'Guarantee Security'!C32+'Inter-American'!C32+'Investment Life of America'!C32+'Kentucky Central'!C32+'London Pac'!C32+'Midwest Life'!C32+'Mutual Benefit'!C32+'Mutual Security'!C32+'National Affiliated'!C32+'Natl American'!C32+'New Jersey Life'!C32+'Old Colony Life'!C32+'Old Faithful'!C32+'Pacific Standard'!C32+'States General'!C32+Statesman!C32+'Summit National'!C32+Supreme!C32+Underwriters!C32+Unison!C32+'United Republic'!C32+Universe!C32</f>
        <v>2363550.7213439052</v>
      </c>
      <c r="D32" s="3">
        <f>+'Alabama Life'!D32+'American Chambers'!D32+'American Educators'!D32+'American Integrity'!D32+'Amer Life Asr'!D32+'Amer Std Life Acc'!D32+AmerWstrn!D32+'AMS Life'!D32+'Bankers Commercial'!D32+'Coastal States'!D32+'Confed Life (CLIC)'!D32+'Consolidated National'!D32+'Consumers United'!D32+'Corporate Life'!D32+'Diamond Benefits'!D32+'EBL Life'!D32+'Fidelity Bankers'!D32+'First Natl'!D32+'George Washington'!D32+'Guarantee Security'!D32+'Inter-American'!D32+'Investment Life of America'!D32+'Kentucky Central'!D32+'London Pac'!D32+'Midwest Life'!D32+'Mutual Benefit'!D32+'Mutual Security'!D32+'National Affiliated'!D32+'Natl American'!D32+'New Jersey Life'!D32+'Old Colony Life'!D32+'Old Faithful'!D32+'Pacific Standard'!D32+'States General'!D32+Statesman!D32+'Summit National'!D32+Supreme!D32+Underwriters!D32+Unison!D32+'United Republic'!D32+Universe!D32</f>
        <v>1063159.2314879294</v>
      </c>
      <c r="E32" s="3">
        <f>+'Alabama Life'!E32+'American Chambers'!E32+'American Educators'!E32+'American Integrity'!E32+'Amer Life Asr'!E32+'Amer Std Life Acc'!E32+AmerWstrn!E32+'AMS Life'!E32+'Bankers Commercial'!E32+'Coastal States'!E32+'Confed Life (CLIC)'!E32+'Consolidated National'!E32+'Consumers United'!E32+'Corporate Life'!E32+'Diamond Benefits'!E32+'EBL Life'!E32+'Fidelity Bankers'!E32+'First Natl'!E32+'George Washington'!E32+'Guarantee Security'!E32+'Inter-American'!E32+'Investment Life of America'!E32+'Kentucky Central'!E32+'London Pac'!E32+'Midwest Life'!E32+'Mutual Benefit'!E32+'Mutual Security'!E32+'National Affiliated'!E32+'Natl American'!E32+'New Jersey Life'!E32+'Old Colony Life'!E32+'Old Faithful'!E32+'Pacific Standard'!E32+'States General'!E32+Statesman!E32+'Summit National'!E32+Supreme!E32+Underwriters!E32+Unison!E32+'United Republic'!E32+Universe!E32</f>
        <v>0</v>
      </c>
      <c r="F32" s="3">
        <f t="shared" si="0"/>
        <v>4140034.5939109991</v>
      </c>
      <c r="H32" t="s">
        <v>331</v>
      </c>
      <c r="I32" s="3">
        <f>+Summary!L81</f>
        <v>-1571655.7299997245</v>
      </c>
    </row>
    <row r="33" spans="1:9">
      <c r="A33" t="s">
        <v>27</v>
      </c>
      <c r="B33" s="3">
        <f>+'Alabama Life'!B33+'American Chambers'!B33+'American Educators'!B33+'American Integrity'!B33+'Amer Life Asr'!B33+'Amer Std Life Acc'!B33+AmerWstrn!B33+'AMS Life'!B33+'Bankers Commercial'!B33+'Coastal States'!B33+'Confed Life (CLIC)'!B33+'Consolidated National'!B33+'Consumers United'!B33+'Corporate Life'!B33+'Diamond Benefits'!B33+'EBL Life'!B33+'Fidelity Bankers'!B33+'First Natl'!B33+'George Washington'!B33+'Guarantee Security'!B33+'Inter-American'!B33+'Investment Life of America'!B33+'Kentucky Central'!B33+'London Pac'!B33+'Midwest Life'!B33+'Mutual Benefit'!B33+'Mutual Security'!B33+'National Affiliated'!B33+'Natl American'!B33+'New Jersey Life'!B33+'Old Colony Life'!B33+'Old Faithful'!B33+'Pacific Standard'!B33+'States General'!B33+Statesman!B33+'Summit National'!B33+Supreme!B33+Underwriters!B33+Unison!B33+'United Republic'!B33+Universe!B33</f>
        <v>2142238.5698162927</v>
      </c>
      <c r="C33" s="3">
        <f>+'Alabama Life'!C33+'American Chambers'!C33+'American Educators'!C33+'American Integrity'!C33+'Amer Life Asr'!C33+'Amer Std Life Acc'!C33+AmerWstrn!C33+'AMS Life'!C33+'Bankers Commercial'!C33+'Coastal States'!C33+'Confed Life (CLIC)'!C33+'Consolidated National'!C33+'Consumers United'!C33+'Corporate Life'!C33+'Diamond Benefits'!C33+'EBL Life'!C33+'Fidelity Bankers'!C33+'First Natl'!C33+'George Washington'!C33+'Guarantee Security'!C33+'Inter-American'!C33+'Investment Life of America'!C33+'Kentucky Central'!C33+'London Pac'!C33+'Midwest Life'!C33+'Mutual Benefit'!C33+'Mutual Security'!C33+'National Affiliated'!C33+'Natl American'!C33+'New Jersey Life'!C33+'Old Colony Life'!C33+'Old Faithful'!C33+'Pacific Standard'!C33+'States General'!C33+Statesman!C33+'Summit National'!C33+Supreme!C33+Underwriters!C33+Unison!C33+'United Republic'!C33+Universe!C33</f>
        <v>6107717.7650818406</v>
      </c>
      <c r="D33" s="3">
        <f>+'Alabama Life'!D33+'American Chambers'!D33+'American Educators'!D33+'American Integrity'!D33+'Amer Life Asr'!D33+'Amer Std Life Acc'!D33+AmerWstrn!D33+'AMS Life'!D33+'Bankers Commercial'!D33+'Coastal States'!D33+'Confed Life (CLIC)'!D33+'Consolidated National'!D33+'Consumers United'!D33+'Corporate Life'!D33+'Diamond Benefits'!D33+'EBL Life'!D33+'Fidelity Bankers'!D33+'First Natl'!D33+'George Washington'!D33+'Guarantee Security'!D33+'Inter-American'!D33+'Investment Life of America'!D33+'Kentucky Central'!D33+'London Pac'!D33+'Midwest Life'!D33+'Mutual Benefit'!D33+'Mutual Security'!D33+'National Affiliated'!D33+'Natl American'!D33+'New Jersey Life'!D33+'Old Colony Life'!D33+'Old Faithful'!D33+'Pacific Standard'!D33+'States General'!D33+Statesman!D33+'Summit National'!D33+Supreme!D33+Underwriters!D33+Unison!D33+'United Republic'!D33+Universe!D33</f>
        <v>-1313668.6663302658</v>
      </c>
      <c r="E33" s="3">
        <f>+'Alabama Life'!E33+'American Chambers'!E33+'American Educators'!E33+'American Integrity'!E33+'Amer Life Asr'!E33+'Amer Std Life Acc'!E33+AmerWstrn!E33+'AMS Life'!E33+'Bankers Commercial'!E33+'Coastal States'!E33+'Confed Life (CLIC)'!E33+'Consolidated National'!E33+'Consumers United'!E33+'Corporate Life'!E33+'Diamond Benefits'!E33+'EBL Life'!E33+'Fidelity Bankers'!E33+'First Natl'!E33+'George Washington'!E33+'Guarantee Security'!E33+'Inter-American'!E33+'Investment Life of America'!E33+'Kentucky Central'!E33+'London Pac'!E33+'Midwest Life'!E33+'Mutual Benefit'!E33+'Mutual Security'!E33+'National Affiliated'!E33+'Natl American'!E33+'New Jersey Life'!E33+'Old Colony Life'!E33+'Old Faithful'!E33+'Pacific Standard'!E33+'States General'!E33+Statesman!E33+'Summit National'!E33+Supreme!E33+Underwriters!E33+Unison!E33+'United Republic'!E33+Universe!E33</f>
        <v>0</v>
      </c>
      <c r="F33" s="3">
        <f t="shared" si="0"/>
        <v>6936287.668567867</v>
      </c>
      <c r="H33" t="s">
        <v>334</v>
      </c>
      <c r="I33" s="3">
        <f>+Summary!L82</f>
        <v>12749019.439999998</v>
      </c>
    </row>
    <row r="34" spans="1:9">
      <c r="A34" t="s">
        <v>28</v>
      </c>
      <c r="B34" s="3">
        <f>+'Alabama Life'!B34+'American Chambers'!B34+'American Educators'!B34+'American Integrity'!B34+'Amer Life Asr'!B34+'Amer Std Life Acc'!B34+AmerWstrn!B34+'AMS Life'!B34+'Bankers Commercial'!B34+'Coastal States'!B34+'Confed Life (CLIC)'!B34+'Consolidated National'!B34+'Consumers United'!B34+'Corporate Life'!B34+'Diamond Benefits'!B34+'EBL Life'!B34+'Fidelity Bankers'!B34+'First Natl'!B34+'George Washington'!B34+'Guarantee Security'!B34+'Inter-American'!B34+'Investment Life of America'!B34+'Kentucky Central'!B34+'London Pac'!B34+'Midwest Life'!B34+'Mutual Benefit'!B34+'Mutual Security'!B34+'National Affiliated'!B34+'Natl American'!B34+'New Jersey Life'!B34+'Old Colony Life'!B34+'Old Faithful'!B34+'Pacific Standard'!B34+'States General'!B34+Statesman!B34+'Summit National'!B34+Supreme!B34+Underwriters!B34+Unison!B34+'United Republic'!B34+Universe!B34</f>
        <v>438306.22784437885</v>
      </c>
      <c r="C34" s="3">
        <f>+'Alabama Life'!C34+'American Chambers'!C34+'American Educators'!C34+'American Integrity'!C34+'Amer Life Asr'!C34+'Amer Std Life Acc'!C34+AmerWstrn!C34+'AMS Life'!C34+'Bankers Commercial'!C34+'Coastal States'!C34+'Confed Life (CLIC)'!C34+'Consolidated National'!C34+'Consumers United'!C34+'Corporate Life'!C34+'Diamond Benefits'!C34+'EBL Life'!C34+'Fidelity Bankers'!C34+'First Natl'!C34+'George Washington'!C34+'Guarantee Security'!C34+'Inter-American'!C34+'Investment Life of America'!C34+'Kentucky Central'!C34+'London Pac'!C34+'Midwest Life'!C34+'Mutual Benefit'!C34+'Mutual Security'!C34+'National Affiliated'!C34+'Natl American'!C34+'New Jersey Life'!C34+'Old Colony Life'!C34+'Old Faithful'!C34+'Pacific Standard'!C34+'States General'!C34+Statesman!C34+'Summit National'!C34+Supreme!C34+Underwriters!C34+Unison!C34+'United Republic'!C34+Universe!C34</f>
        <v>1688338.1963550795</v>
      </c>
      <c r="D34" s="3">
        <f>+'Alabama Life'!D34+'American Chambers'!D34+'American Educators'!D34+'American Integrity'!D34+'Amer Life Asr'!D34+'Amer Std Life Acc'!D34+AmerWstrn!D34+'AMS Life'!D34+'Bankers Commercial'!D34+'Coastal States'!D34+'Confed Life (CLIC)'!D34+'Consolidated National'!D34+'Consumers United'!D34+'Corporate Life'!D34+'Diamond Benefits'!D34+'EBL Life'!D34+'Fidelity Bankers'!D34+'First Natl'!D34+'George Washington'!D34+'Guarantee Security'!D34+'Inter-American'!D34+'Investment Life of America'!D34+'Kentucky Central'!D34+'London Pac'!D34+'Midwest Life'!D34+'Mutual Benefit'!D34+'Mutual Security'!D34+'National Affiliated'!D34+'Natl American'!D34+'New Jersey Life'!D34+'Old Colony Life'!D34+'Old Faithful'!D34+'Pacific Standard'!D34+'States General'!D34+Statesman!D34+'Summit National'!D34+Supreme!D34+Underwriters!D34+Unison!D34+'United Republic'!D34+Universe!D34</f>
        <v>591041.90309372311</v>
      </c>
      <c r="E34" s="3">
        <f>+'Alabama Life'!E34+'American Chambers'!E34+'American Educators'!E34+'American Integrity'!E34+'Amer Life Asr'!E34+'Amer Std Life Acc'!E34+AmerWstrn!E34+'AMS Life'!E34+'Bankers Commercial'!E34+'Coastal States'!E34+'Confed Life (CLIC)'!E34+'Consolidated National'!E34+'Consumers United'!E34+'Corporate Life'!E34+'Diamond Benefits'!E34+'EBL Life'!E34+'Fidelity Bankers'!E34+'First Natl'!E34+'George Washington'!E34+'Guarantee Security'!E34+'Inter-American'!E34+'Investment Life of America'!E34+'Kentucky Central'!E34+'London Pac'!E34+'Midwest Life'!E34+'Mutual Benefit'!E34+'Mutual Security'!E34+'National Affiliated'!E34+'Natl American'!E34+'New Jersey Life'!E34+'Old Colony Life'!E34+'Old Faithful'!E34+'Pacific Standard'!E34+'States General'!E34+Statesman!E34+'Summit National'!E34+Supreme!E34+Underwriters!E34+Unison!E34+'United Republic'!E34+Universe!E34</f>
        <v>0</v>
      </c>
      <c r="F34" s="3">
        <f t="shared" si="0"/>
        <v>2717686.3272931813</v>
      </c>
      <c r="H34" t="s">
        <v>336</v>
      </c>
      <c r="I34" s="3">
        <f>+Summary!L83</f>
        <v>1309476.882858512</v>
      </c>
    </row>
    <row r="35" spans="1:9">
      <c r="A35" t="s">
        <v>29</v>
      </c>
      <c r="B35" s="3">
        <f>+'Alabama Life'!B35+'American Chambers'!B35+'American Educators'!B35+'American Integrity'!B35+'Amer Life Asr'!B35+'Amer Std Life Acc'!B35+AmerWstrn!B35+'AMS Life'!B35+'Bankers Commercial'!B35+'Coastal States'!B35+'Confed Life (CLIC)'!B35+'Consolidated National'!B35+'Consumers United'!B35+'Corporate Life'!B35+'Diamond Benefits'!B35+'EBL Life'!B35+'Fidelity Bankers'!B35+'First Natl'!B35+'George Washington'!B35+'Guarantee Security'!B35+'Inter-American'!B35+'Investment Life of America'!B35+'Kentucky Central'!B35+'London Pac'!B35+'Midwest Life'!B35+'Mutual Benefit'!B35+'Mutual Security'!B35+'National Affiliated'!B35+'Natl American'!B35+'New Jersey Life'!B35+'Old Colony Life'!B35+'Old Faithful'!B35+'Pacific Standard'!B35+'States General'!B35+Statesman!B35+'Summit National'!B35+Supreme!B35+Underwriters!B35+Unison!B35+'United Republic'!B35+Universe!B35</f>
        <v>550987.11430802115</v>
      </c>
      <c r="C35" s="3">
        <f>+'Alabama Life'!C35+'American Chambers'!C35+'American Educators'!C35+'American Integrity'!C35+'Amer Life Asr'!C35+'Amer Std Life Acc'!C35+AmerWstrn!C35+'AMS Life'!C35+'Bankers Commercial'!C35+'Coastal States'!C35+'Confed Life (CLIC)'!C35+'Consolidated National'!C35+'Consumers United'!C35+'Corporate Life'!C35+'Diamond Benefits'!C35+'EBL Life'!C35+'Fidelity Bankers'!C35+'First Natl'!C35+'George Washington'!C35+'Guarantee Security'!C35+'Inter-American'!C35+'Investment Life of America'!C35+'Kentucky Central'!C35+'London Pac'!C35+'Midwest Life'!C35+'Mutual Benefit'!C35+'Mutual Security'!C35+'National Affiliated'!C35+'Natl American'!C35+'New Jersey Life'!C35+'Old Colony Life'!C35+'Old Faithful'!C35+'Pacific Standard'!C35+'States General'!C35+Statesman!C35+'Summit National'!C35+Supreme!C35+Underwriters!C35+Unison!C35+'United Republic'!C35+Universe!C35</f>
        <v>435972.83414211002</v>
      </c>
      <c r="D35" s="3">
        <f>+'Alabama Life'!D35+'American Chambers'!D35+'American Educators'!D35+'American Integrity'!D35+'Amer Life Asr'!D35+'Amer Std Life Acc'!D35+AmerWstrn!D35+'AMS Life'!D35+'Bankers Commercial'!D35+'Coastal States'!D35+'Confed Life (CLIC)'!D35+'Consolidated National'!D35+'Consumers United'!D35+'Corporate Life'!D35+'Diamond Benefits'!D35+'EBL Life'!D35+'Fidelity Bankers'!D35+'First Natl'!D35+'George Washington'!D35+'Guarantee Security'!D35+'Inter-American'!D35+'Investment Life of America'!D35+'Kentucky Central'!D35+'London Pac'!D35+'Midwest Life'!D35+'Mutual Benefit'!D35+'Mutual Security'!D35+'National Affiliated'!D35+'Natl American'!D35+'New Jersey Life'!D35+'Old Colony Life'!D35+'Old Faithful'!D35+'Pacific Standard'!D35+'States General'!D35+Statesman!D35+'Summit National'!D35+Supreme!D35+Underwriters!D35+Unison!D35+'United Republic'!D35+Universe!D35</f>
        <v>149715.78238652271</v>
      </c>
      <c r="E35" s="3">
        <f>+'Alabama Life'!E35+'American Chambers'!E35+'American Educators'!E35+'American Integrity'!E35+'Amer Life Asr'!E35+'Amer Std Life Acc'!E35+AmerWstrn!E35+'AMS Life'!E35+'Bankers Commercial'!E35+'Coastal States'!E35+'Confed Life (CLIC)'!E35+'Consolidated National'!E35+'Consumers United'!E35+'Corporate Life'!E35+'Diamond Benefits'!E35+'EBL Life'!E35+'Fidelity Bankers'!E35+'First Natl'!E35+'George Washington'!E35+'Guarantee Security'!E35+'Inter-American'!E35+'Investment Life of America'!E35+'Kentucky Central'!E35+'London Pac'!E35+'Midwest Life'!E35+'Mutual Benefit'!E35+'Mutual Security'!E35+'National Affiliated'!E35+'Natl American'!E35+'New Jersey Life'!E35+'Old Colony Life'!E35+'Old Faithful'!E35+'Pacific Standard'!E35+'States General'!E35+Statesman!E35+'Summit National'!E35+Supreme!E35+Underwriters!E35+Unison!E35+'United Republic'!E35+Universe!E35</f>
        <v>606591.51455761492</v>
      </c>
      <c r="F35" s="3">
        <f t="shared" si="0"/>
        <v>1743267.2453942688</v>
      </c>
      <c r="H35" t="s">
        <v>338</v>
      </c>
      <c r="I35" s="3">
        <f>+Summary!L84</f>
        <v>13146412.55543096</v>
      </c>
    </row>
    <row r="36" spans="1:9">
      <c r="A36" t="s">
        <v>30</v>
      </c>
      <c r="B36" s="3">
        <f>+'Alabama Life'!B36+'American Chambers'!B36+'American Educators'!B36+'American Integrity'!B36+'Amer Life Asr'!B36+'Amer Std Life Acc'!B36+AmerWstrn!B36+'AMS Life'!B36+'Bankers Commercial'!B36+'Coastal States'!B36+'Confed Life (CLIC)'!B36+'Consolidated National'!B36+'Consumers United'!B36+'Corporate Life'!B36+'Diamond Benefits'!B36+'EBL Life'!B36+'Fidelity Bankers'!B36+'First Natl'!B36+'George Washington'!B36+'Guarantee Security'!B36+'Inter-American'!B36+'Investment Life of America'!B36+'Kentucky Central'!B36+'London Pac'!B36+'Midwest Life'!B36+'Mutual Benefit'!B36+'Mutual Security'!B36+'National Affiliated'!B36+'Natl American'!B36+'New Jersey Life'!B36+'Old Colony Life'!B36+'Old Faithful'!B36+'Pacific Standard'!B36+'States General'!B36+Statesman!B36+'Summit National'!B36+Supreme!B36+Underwriters!B36+Unison!B36+'United Republic'!B36+Universe!B36</f>
        <v>18445053.024039928</v>
      </c>
      <c r="C36" s="3">
        <f>+'Alabama Life'!C36+'American Chambers'!C36+'American Educators'!C36+'American Integrity'!C36+'Amer Life Asr'!C36+'Amer Std Life Acc'!C36+AmerWstrn!C36+'AMS Life'!C36+'Bankers Commercial'!C36+'Coastal States'!C36+'Confed Life (CLIC)'!C36+'Consolidated National'!C36+'Consumers United'!C36+'Corporate Life'!C36+'Diamond Benefits'!C36+'EBL Life'!C36+'Fidelity Bankers'!C36+'First Natl'!C36+'George Washington'!C36+'Guarantee Security'!C36+'Inter-American'!C36+'Investment Life of America'!C36+'Kentucky Central'!C36+'London Pac'!C36+'Midwest Life'!C36+'Mutual Benefit'!C36+'Mutual Security'!C36+'National Affiliated'!C36+'Natl American'!C36+'New Jersey Life'!C36+'Old Colony Life'!C36+'Old Faithful'!C36+'Pacific Standard'!C36+'States General'!C36+Statesman!C36+'Summit National'!C36+Supreme!C36+Underwriters!C36+Unison!C36+'United Republic'!C36+Universe!C36</f>
        <v>1463021.9448184429</v>
      </c>
      <c r="D36" s="3">
        <f>+'Alabama Life'!D36+'American Chambers'!D36+'American Educators'!D36+'American Integrity'!D36+'Amer Life Asr'!D36+'Amer Std Life Acc'!D36+AmerWstrn!D36+'AMS Life'!D36+'Bankers Commercial'!D36+'Coastal States'!D36+'Confed Life (CLIC)'!D36+'Consolidated National'!D36+'Consumers United'!D36+'Corporate Life'!D36+'Diamond Benefits'!D36+'EBL Life'!D36+'Fidelity Bankers'!D36+'First Natl'!D36+'George Washington'!D36+'Guarantee Security'!D36+'Inter-American'!D36+'Investment Life of America'!D36+'Kentucky Central'!D36+'London Pac'!D36+'Midwest Life'!D36+'Mutual Benefit'!D36+'Mutual Security'!D36+'National Affiliated'!D36+'Natl American'!D36+'New Jersey Life'!D36+'Old Colony Life'!D36+'Old Faithful'!D36+'Pacific Standard'!D36+'States General'!D36+Statesman!D36+'Summit National'!D36+Supreme!D36+Underwriters!D36+Unison!D36+'United Republic'!D36+Universe!D36</f>
        <v>466328.99046405719</v>
      </c>
      <c r="E36" s="3">
        <f>+'Alabama Life'!E36+'American Chambers'!E36+'American Educators'!E36+'American Integrity'!E36+'Amer Life Asr'!E36+'Amer Std Life Acc'!E36+AmerWstrn!E36+'AMS Life'!E36+'Bankers Commercial'!E36+'Coastal States'!E36+'Confed Life (CLIC)'!E36+'Consolidated National'!E36+'Consumers United'!E36+'Corporate Life'!E36+'Diamond Benefits'!E36+'EBL Life'!E36+'Fidelity Bankers'!E36+'First Natl'!E36+'George Washington'!E36+'Guarantee Security'!E36+'Inter-American'!E36+'Investment Life of America'!E36+'Kentucky Central'!E36+'London Pac'!E36+'Midwest Life'!E36+'Mutual Benefit'!E36+'Mutual Security'!E36+'National Affiliated'!E36+'Natl American'!E36+'New Jersey Life'!E36+'Old Colony Life'!E36+'Old Faithful'!E36+'Pacific Standard'!E36+'States General'!E36+Statesman!E36+'Summit National'!E36+Supreme!E36+Underwriters!E36+Unison!E36+'United Republic'!E36+Universe!E36</f>
        <v>3461414.0275103804</v>
      </c>
      <c r="F36" s="3">
        <f t="shared" si="0"/>
        <v>23835817.986832812</v>
      </c>
      <c r="H36" t="s">
        <v>340</v>
      </c>
      <c r="I36" s="3">
        <f>+Summary!L85</f>
        <v>81850530.519999996</v>
      </c>
    </row>
    <row r="37" spans="1:9">
      <c r="A37" t="s">
        <v>31</v>
      </c>
      <c r="B37" s="3">
        <f>+'Alabama Life'!B37+'American Chambers'!B37+'American Educators'!B37+'American Integrity'!B37+'Amer Life Asr'!B37+'Amer Std Life Acc'!B37+AmerWstrn!B37+'AMS Life'!B37+'Bankers Commercial'!B37+'Coastal States'!B37+'Confed Life (CLIC)'!B37+'Consolidated National'!B37+'Consumers United'!B37+'Corporate Life'!B37+'Diamond Benefits'!B37+'EBL Life'!B37+'Fidelity Bankers'!B37+'First Natl'!B37+'George Washington'!B37+'Guarantee Security'!B37+'Inter-American'!B37+'Investment Life of America'!B37+'Kentucky Central'!B37+'London Pac'!B37+'Midwest Life'!B37+'Mutual Benefit'!B37+'Mutual Security'!B37+'National Affiliated'!B37+'Natl American'!B37+'New Jersey Life'!B37+'Old Colony Life'!B37+'Old Faithful'!B37+'Pacific Standard'!B37+'States General'!B37+Statesman!B37+'Summit National'!B37+Supreme!B37+Underwriters!B37+Unison!B37+'United Republic'!B37+Universe!B37</f>
        <v>819734.12207758625</v>
      </c>
      <c r="C37" s="3">
        <f>+'Alabama Life'!C37+'American Chambers'!C37+'American Educators'!C37+'American Integrity'!C37+'Amer Life Asr'!C37+'Amer Std Life Acc'!C37+AmerWstrn!C37+'AMS Life'!C37+'Bankers Commercial'!C37+'Coastal States'!C37+'Confed Life (CLIC)'!C37+'Consolidated National'!C37+'Consumers United'!C37+'Corporate Life'!C37+'Diamond Benefits'!C37+'EBL Life'!C37+'Fidelity Bankers'!C37+'First Natl'!C37+'George Washington'!C37+'Guarantee Security'!C37+'Inter-American'!C37+'Investment Life of America'!C37+'Kentucky Central'!C37+'London Pac'!C37+'Midwest Life'!C37+'Mutual Benefit'!C37+'Mutual Security'!C37+'National Affiliated'!C37+'Natl American'!C37+'New Jersey Life'!C37+'Old Colony Life'!C37+'Old Faithful'!C37+'Pacific Standard'!C37+'States General'!C37+Statesman!C37+'Summit National'!C37+Supreme!C37+Underwriters!C37+Unison!C37+'United Republic'!C37+Universe!C37</f>
        <v>1696122.3278615191</v>
      </c>
      <c r="D37" s="3">
        <f>+'Alabama Life'!D37+'American Chambers'!D37+'American Educators'!D37+'American Integrity'!D37+'Amer Life Asr'!D37+'Amer Std Life Acc'!D37+AmerWstrn!D37+'AMS Life'!D37+'Bankers Commercial'!D37+'Coastal States'!D37+'Confed Life (CLIC)'!D37+'Consolidated National'!D37+'Consumers United'!D37+'Corporate Life'!D37+'Diamond Benefits'!D37+'EBL Life'!D37+'Fidelity Bankers'!D37+'First Natl'!D37+'George Washington'!D37+'Guarantee Security'!D37+'Inter-American'!D37+'Investment Life of America'!D37+'Kentucky Central'!D37+'London Pac'!D37+'Midwest Life'!D37+'Mutual Benefit'!D37+'Mutual Security'!D37+'National Affiliated'!D37+'Natl American'!D37+'New Jersey Life'!D37+'Old Colony Life'!D37+'Old Faithful'!D37+'Pacific Standard'!D37+'States General'!D37+Statesman!D37+'Summit National'!D37+Supreme!D37+Underwriters!D37+Unison!D37+'United Republic'!D37+Universe!D37</f>
        <v>275643.89652842394</v>
      </c>
      <c r="E37" s="3">
        <f>+'Alabama Life'!E37+'American Chambers'!E37+'American Educators'!E37+'American Integrity'!E37+'Amer Life Asr'!E37+'Amer Std Life Acc'!E37+AmerWstrn!E37+'AMS Life'!E37+'Bankers Commercial'!E37+'Coastal States'!E37+'Confed Life (CLIC)'!E37+'Consolidated National'!E37+'Consumers United'!E37+'Corporate Life'!E37+'Diamond Benefits'!E37+'EBL Life'!E37+'Fidelity Bankers'!E37+'First Natl'!E37+'George Washington'!E37+'Guarantee Security'!E37+'Inter-American'!E37+'Investment Life of America'!E37+'Kentucky Central'!E37+'London Pac'!E37+'Midwest Life'!E37+'Mutual Benefit'!E37+'Mutual Security'!E37+'National Affiliated'!E37+'Natl American'!E37+'New Jersey Life'!E37+'Old Colony Life'!E37+'Old Faithful'!E37+'Pacific Standard'!E37+'States General'!E37+Statesman!E37+'Summit National'!E37+Supreme!E37+Underwriters!E37+Unison!E37+'United Republic'!E37+Universe!E37</f>
        <v>0</v>
      </c>
      <c r="F37" s="3">
        <f t="shared" si="0"/>
        <v>2791500.346467529</v>
      </c>
      <c r="H37" t="s">
        <v>342</v>
      </c>
      <c r="I37" s="3">
        <f>+Summary!L86</f>
        <v>11180621.219999928</v>
      </c>
    </row>
    <row r="38" spans="1:9">
      <c r="A38" t="s">
        <v>32</v>
      </c>
      <c r="B38" s="3">
        <f>+'Alabama Life'!B38+'American Chambers'!B38+'American Educators'!B38+'American Integrity'!B38+'Amer Life Asr'!B38+'Amer Std Life Acc'!B38+AmerWstrn!B38+'AMS Life'!B38+'Bankers Commercial'!B38+'Coastal States'!B38+'Confed Life (CLIC)'!B38+'Consolidated National'!B38+'Consumers United'!B38+'Corporate Life'!B38+'Diamond Benefits'!B38+'EBL Life'!B38+'Fidelity Bankers'!B38+'First Natl'!B38+'George Washington'!B38+'Guarantee Security'!B38+'Inter-American'!B38+'Investment Life of America'!B38+'Kentucky Central'!B38+'London Pac'!B38+'Midwest Life'!B38+'Mutual Benefit'!B38+'Mutual Security'!B38+'National Affiliated'!B38+'Natl American'!B38+'New Jersey Life'!B38+'Old Colony Life'!B38+'Old Faithful'!B38+'Pacific Standard'!B38+'States General'!B38+Statesman!B38+'Summit National'!B38+Supreme!B38+Underwriters!B38+Unison!B38+'United Republic'!B38+Universe!B38</f>
        <v>-32318.555358155842</v>
      </c>
      <c r="C38" s="3">
        <f>+'Alabama Life'!C38+'American Chambers'!C38+'American Educators'!C38+'American Integrity'!C38+'Amer Life Asr'!C38+'Amer Std Life Acc'!C38+AmerWstrn!C38+'AMS Life'!C38+'Bankers Commercial'!C38+'Coastal States'!C38+'Confed Life (CLIC)'!C38+'Consolidated National'!C38+'Consumers United'!C38+'Corporate Life'!C38+'Diamond Benefits'!C38+'EBL Life'!C38+'Fidelity Bankers'!C38+'First Natl'!C38+'George Washington'!C38+'Guarantee Security'!C38+'Inter-American'!C38+'Investment Life of America'!C38+'Kentucky Central'!C38+'London Pac'!C38+'Midwest Life'!C38+'Mutual Benefit'!C38+'Mutual Security'!C38+'National Affiliated'!C38+'Natl American'!C38+'New Jersey Life'!C38+'Old Colony Life'!C38+'Old Faithful'!C38+'Pacific Standard'!C38+'States General'!C38+Statesman!C38+'Summit National'!C38+Supreme!C38+Underwriters!C38+Unison!C38+'United Republic'!C38+Universe!C38</f>
        <v>-253099.3206013795</v>
      </c>
      <c r="D38" s="3">
        <f>+'Alabama Life'!D38+'American Chambers'!D38+'American Educators'!D38+'American Integrity'!D38+'Amer Life Asr'!D38+'Amer Std Life Acc'!D38+AmerWstrn!D38+'AMS Life'!D38+'Bankers Commercial'!D38+'Coastal States'!D38+'Confed Life (CLIC)'!D38+'Consolidated National'!D38+'Consumers United'!D38+'Corporate Life'!D38+'Diamond Benefits'!D38+'EBL Life'!D38+'Fidelity Bankers'!D38+'First Natl'!D38+'George Washington'!D38+'Guarantee Security'!D38+'Inter-American'!D38+'Investment Life of America'!D38+'Kentucky Central'!D38+'London Pac'!D38+'Midwest Life'!D38+'Mutual Benefit'!D38+'Mutual Security'!D38+'National Affiliated'!D38+'Natl American'!D38+'New Jersey Life'!D38+'Old Colony Life'!D38+'Old Faithful'!D38+'Pacific Standard'!D38+'States General'!D38+Statesman!D38+'Summit National'!D38+Supreme!D38+Underwriters!D38+Unison!D38+'United Republic'!D38+Universe!D38</f>
        <v>5596.669253500052</v>
      </c>
      <c r="E38" s="3">
        <f>+'Alabama Life'!E38+'American Chambers'!E38+'American Educators'!E38+'American Integrity'!E38+'Amer Life Asr'!E38+'Amer Std Life Acc'!E38+AmerWstrn!E38+'AMS Life'!E38+'Bankers Commercial'!E38+'Coastal States'!E38+'Confed Life (CLIC)'!E38+'Consolidated National'!E38+'Consumers United'!E38+'Corporate Life'!E38+'Diamond Benefits'!E38+'EBL Life'!E38+'Fidelity Bankers'!E38+'First Natl'!E38+'George Washington'!E38+'Guarantee Security'!E38+'Inter-American'!E38+'Investment Life of America'!E38+'Kentucky Central'!E38+'London Pac'!E38+'Midwest Life'!E38+'Mutual Benefit'!E38+'Mutual Security'!E38+'National Affiliated'!E38+'Natl American'!E38+'New Jersey Life'!E38+'Old Colony Life'!E38+'Old Faithful'!E38+'Pacific Standard'!E38+'States General'!E38+Statesman!E38+'Summit National'!E38+Supreme!E38+Underwriters!E38+Unison!E38+'United Republic'!E38+Universe!E38</f>
        <v>-9195.7838029512786</v>
      </c>
      <c r="F38" s="3">
        <f t="shared" ref="F38:F58" si="1">SUM(B38:E38)</f>
        <v>-289016.99050898658</v>
      </c>
      <c r="H38" t="s">
        <v>344</v>
      </c>
      <c r="I38" s="3">
        <f>+Summary!L87</f>
        <v>1474117.6790999998</v>
      </c>
    </row>
    <row r="39" spans="1:9">
      <c r="A39" t="s">
        <v>33</v>
      </c>
      <c r="B39" s="3">
        <f>+'Alabama Life'!B39+'American Chambers'!B39+'American Educators'!B39+'American Integrity'!B39+'Amer Life Asr'!B39+'Amer Std Life Acc'!B39+AmerWstrn!B39+'AMS Life'!B39+'Bankers Commercial'!B39+'Coastal States'!B39+'Confed Life (CLIC)'!B39+'Consolidated National'!B39+'Consumers United'!B39+'Corporate Life'!B39+'Diamond Benefits'!B39+'EBL Life'!B39+'Fidelity Bankers'!B39+'First Natl'!B39+'George Washington'!B39+'Guarantee Security'!B39+'Inter-American'!B39+'Investment Life of America'!B39+'Kentucky Central'!B39+'London Pac'!B39+'Midwest Life'!B39+'Mutual Benefit'!B39+'Mutual Security'!B39+'National Affiliated'!B39+'Natl American'!B39+'New Jersey Life'!B39+'Old Colony Life'!B39+'Old Faithful'!B39+'Pacific Standard'!B39+'States General'!B39+Statesman!B39+'Summit National'!B39+Supreme!B39+Underwriters!B39+Unison!B39+'United Republic'!B39+Universe!B39</f>
        <v>8363559.0819765348</v>
      </c>
      <c r="C39" s="3">
        <f>+'Alabama Life'!C39+'American Chambers'!C39+'American Educators'!C39+'American Integrity'!C39+'Amer Life Asr'!C39+'Amer Std Life Acc'!C39+AmerWstrn!C39+'AMS Life'!C39+'Bankers Commercial'!C39+'Coastal States'!C39+'Confed Life (CLIC)'!C39+'Consolidated National'!C39+'Consumers United'!C39+'Corporate Life'!C39+'Diamond Benefits'!C39+'EBL Life'!C39+'Fidelity Bankers'!C39+'First Natl'!C39+'George Washington'!C39+'Guarantee Security'!C39+'Inter-American'!C39+'Investment Life of America'!C39+'Kentucky Central'!C39+'London Pac'!C39+'Midwest Life'!C39+'Mutual Benefit'!C39+'Mutual Security'!C39+'National Affiliated'!C39+'Natl American'!C39+'New Jersey Life'!C39+'Old Colony Life'!C39+'Old Faithful'!C39+'Pacific Standard'!C39+'States General'!C39+Statesman!C39+'Summit National'!C39+Supreme!C39+Underwriters!C39+Unison!C39+'United Republic'!C39+Universe!C39</f>
        <v>13098133.715602702</v>
      </c>
      <c r="D39" s="3">
        <f>+'Alabama Life'!D39+'American Chambers'!D39+'American Educators'!D39+'American Integrity'!D39+'Amer Life Asr'!D39+'Amer Std Life Acc'!D39+AmerWstrn!D39+'AMS Life'!D39+'Bankers Commercial'!D39+'Coastal States'!D39+'Confed Life (CLIC)'!D39+'Consolidated National'!D39+'Consumers United'!D39+'Corporate Life'!D39+'Diamond Benefits'!D39+'EBL Life'!D39+'Fidelity Bankers'!D39+'First Natl'!D39+'George Washington'!D39+'Guarantee Security'!D39+'Inter-American'!D39+'Investment Life of America'!D39+'Kentucky Central'!D39+'London Pac'!D39+'Midwest Life'!D39+'Mutual Benefit'!D39+'Mutual Security'!D39+'National Affiliated'!D39+'Natl American'!D39+'New Jersey Life'!D39+'Old Colony Life'!D39+'Old Faithful'!D39+'Pacific Standard'!D39+'States General'!D39+Statesman!D39+'Summit National'!D39+Supreme!D39+Underwriters!D39+Unison!D39+'United Republic'!D39+Universe!D39</f>
        <v>457178.12779218861</v>
      </c>
      <c r="E39" s="3">
        <f>+'Alabama Life'!E39+'American Chambers'!E39+'American Educators'!E39+'American Integrity'!E39+'Amer Life Asr'!E39+'Amer Std Life Acc'!E39+AmerWstrn!E39+'AMS Life'!E39+'Bankers Commercial'!E39+'Coastal States'!E39+'Confed Life (CLIC)'!E39+'Consolidated National'!E39+'Consumers United'!E39+'Corporate Life'!E39+'Diamond Benefits'!E39+'EBL Life'!E39+'Fidelity Bankers'!E39+'First Natl'!E39+'George Washington'!E39+'Guarantee Security'!E39+'Inter-American'!E39+'Investment Life of America'!E39+'Kentucky Central'!E39+'London Pac'!E39+'Midwest Life'!E39+'Mutual Benefit'!E39+'Mutual Security'!E39+'National Affiliated'!E39+'Natl American'!E39+'New Jersey Life'!E39+'Old Colony Life'!E39+'Old Faithful'!E39+'Pacific Standard'!E39+'States General'!E39+Statesman!E39+'Summit National'!E39+Supreme!E39+Underwriters!E39+Unison!E39+'United Republic'!E39+Universe!E39</f>
        <v>220803.7229674448</v>
      </c>
      <c r="F39" s="3">
        <f t="shared" si="1"/>
        <v>22139674.648338869</v>
      </c>
      <c r="H39" t="s">
        <v>347</v>
      </c>
      <c r="I39" s="3">
        <f>+Summary!L88</f>
        <v>28433271.529999997</v>
      </c>
    </row>
    <row r="40" spans="1:9">
      <c r="A40" t="s">
        <v>34</v>
      </c>
      <c r="B40" s="3">
        <f>+'Alabama Life'!B40+'American Chambers'!B40+'American Educators'!B40+'American Integrity'!B40+'Amer Life Asr'!B40+'Amer Std Life Acc'!B40+AmerWstrn!B40+'AMS Life'!B40+'Bankers Commercial'!B40+'Coastal States'!B40+'Confed Life (CLIC)'!B40+'Consolidated National'!B40+'Consumers United'!B40+'Corporate Life'!B40+'Diamond Benefits'!B40+'EBL Life'!B40+'Fidelity Bankers'!B40+'First Natl'!B40+'George Washington'!B40+'Guarantee Security'!B40+'Inter-American'!B40+'Investment Life of America'!B40+'Kentucky Central'!B40+'London Pac'!B40+'Midwest Life'!B40+'Mutual Benefit'!B40+'Mutual Security'!B40+'National Affiliated'!B40+'Natl American'!B40+'New Jersey Life'!B40+'Old Colony Life'!B40+'Old Faithful'!B40+'Pacific Standard'!B40+'States General'!B40+Statesman!B40+'Summit National'!B40+Supreme!B40+Underwriters!B40+Unison!B40+'United Republic'!B40+Universe!B40</f>
        <v>770452.36646616447</v>
      </c>
      <c r="C40" s="3">
        <f>+'Alabama Life'!C40+'American Chambers'!C40+'American Educators'!C40+'American Integrity'!C40+'Amer Life Asr'!C40+'Amer Std Life Acc'!C40+AmerWstrn!C40+'AMS Life'!C40+'Bankers Commercial'!C40+'Coastal States'!C40+'Confed Life (CLIC)'!C40+'Consolidated National'!C40+'Consumers United'!C40+'Corporate Life'!C40+'Diamond Benefits'!C40+'EBL Life'!C40+'Fidelity Bankers'!C40+'First Natl'!C40+'George Washington'!C40+'Guarantee Security'!C40+'Inter-American'!C40+'Investment Life of America'!C40+'Kentucky Central'!C40+'London Pac'!C40+'Midwest Life'!C40+'Mutual Benefit'!C40+'Mutual Security'!C40+'National Affiliated'!C40+'Natl American'!C40+'New Jersey Life'!C40+'Old Colony Life'!C40+'Old Faithful'!C40+'Pacific Standard'!C40+'States General'!C40+Statesman!C40+'Summit National'!C40+Supreme!C40+Underwriters!C40+Unison!C40+'United Republic'!C40+Universe!C40</f>
        <v>2112112.9565247642</v>
      </c>
      <c r="D40" s="3">
        <f>+'Alabama Life'!D40+'American Chambers'!D40+'American Educators'!D40+'American Integrity'!D40+'Amer Life Asr'!D40+'Amer Std Life Acc'!D40+AmerWstrn!D40+'AMS Life'!D40+'Bankers Commercial'!D40+'Coastal States'!D40+'Confed Life (CLIC)'!D40+'Consolidated National'!D40+'Consumers United'!D40+'Corporate Life'!D40+'Diamond Benefits'!D40+'EBL Life'!D40+'Fidelity Bankers'!D40+'First Natl'!D40+'George Washington'!D40+'Guarantee Security'!D40+'Inter-American'!D40+'Investment Life of America'!D40+'Kentucky Central'!D40+'London Pac'!D40+'Midwest Life'!D40+'Mutual Benefit'!D40+'Mutual Security'!D40+'National Affiliated'!D40+'Natl American'!D40+'New Jersey Life'!D40+'Old Colony Life'!D40+'Old Faithful'!D40+'Pacific Standard'!D40+'States General'!D40+Statesman!D40+'Summit National'!D40+Supreme!D40+Underwriters!D40+Unison!D40+'United Republic'!D40+Universe!D40</f>
        <v>1203300.5054789709</v>
      </c>
      <c r="E40" s="3">
        <f>+'Alabama Life'!E40+'American Chambers'!E40+'American Educators'!E40+'American Integrity'!E40+'Amer Life Asr'!E40+'Amer Std Life Acc'!E40+AmerWstrn!E40+'AMS Life'!E40+'Bankers Commercial'!E40+'Coastal States'!E40+'Confed Life (CLIC)'!E40+'Consolidated National'!E40+'Consumers United'!E40+'Corporate Life'!E40+'Diamond Benefits'!E40+'EBL Life'!E40+'Fidelity Bankers'!E40+'First Natl'!E40+'George Washington'!E40+'Guarantee Security'!E40+'Inter-American'!E40+'Investment Life of America'!E40+'Kentucky Central'!E40+'London Pac'!E40+'Midwest Life'!E40+'Mutual Benefit'!E40+'Mutual Security'!E40+'National Affiliated'!E40+'Natl American'!E40+'New Jersey Life'!E40+'Old Colony Life'!E40+'Old Faithful'!E40+'Pacific Standard'!E40+'States General'!E40+Statesman!E40+'Summit National'!E40+Supreme!E40+Underwriters!E40+Unison!E40+'United Republic'!E40+Universe!E40</f>
        <v>0</v>
      </c>
      <c r="F40" s="3">
        <f t="shared" si="1"/>
        <v>4085865.8284698995</v>
      </c>
      <c r="H40" t="s">
        <v>349</v>
      </c>
      <c r="I40" s="3">
        <f>+Summary!L89</f>
        <v>4938099.47</v>
      </c>
    </row>
    <row r="41" spans="1:9">
      <c r="A41" t="s">
        <v>35</v>
      </c>
      <c r="B41" s="3">
        <f>+'Alabama Life'!B41+'American Chambers'!B41+'American Educators'!B41+'American Integrity'!B41+'Amer Life Asr'!B41+'Amer Std Life Acc'!B41+AmerWstrn!B41+'AMS Life'!B41+'Bankers Commercial'!B41+'Coastal States'!B41+'Confed Life (CLIC)'!B41+'Consolidated National'!B41+'Consumers United'!B41+'Corporate Life'!B41+'Diamond Benefits'!B41+'EBL Life'!B41+'Fidelity Bankers'!B41+'First Natl'!B41+'George Washington'!B41+'Guarantee Security'!B41+'Inter-American'!B41+'Investment Life of America'!B41+'Kentucky Central'!B41+'London Pac'!B41+'Midwest Life'!B41+'Mutual Benefit'!B41+'Mutual Security'!B41+'National Affiliated'!B41+'Natl American'!B41+'New Jersey Life'!B41+'Old Colony Life'!B41+'Old Faithful'!B41+'Pacific Standard'!B41+'States General'!B41+Statesman!B41+'Summit National'!B41+Supreme!B41+Underwriters!B41+Unison!B41+'United Republic'!B41+Universe!B41</f>
        <v>9695094.0792750511</v>
      </c>
      <c r="C41" s="3">
        <f>+'Alabama Life'!C41+'American Chambers'!C41+'American Educators'!C41+'American Integrity'!C41+'Amer Life Asr'!C41+'Amer Std Life Acc'!C41+AmerWstrn!C41+'AMS Life'!C41+'Bankers Commercial'!C41+'Coastal States'!C41+'Confed Life (CLIC)'!C41+'Consolidated National'!C41+'Consumers United'!C41+'Corporate Life'!C41+'Diamond Benefits'!C41+'EBL Life'!C41+'Fidelity Bankers'!C41+'First Natl'!C41+'George Washington'!C41+'Guarantee Security'!C41+'Inter-American'!C41+'Investment Life of America'!C41+'Kentucky Central'!C41+'London Pac'!C41+'Midwest Life'!C41+'Mutual Benefit'!C41+'Mutual Security'!C41+'National Affiliated'!C41+'Natl American'!C41+'New Jersey Life'!C41+'Old Colony Life'!C41+'Old Faithful'!C41+'Pacific Standard'!C41+'States General'!C41+Statesman!C41+'Summit National'!C41+Supreme!C41+Underwriters!C41+Unison!C41+'United Republic'!C41+Universe!C41</f>
        <v>19766012.618156552</v>
      </c>
      <c r="D41" s="3">
        <f>+'Alabama Life'!D41+'American Chambers'!D41+'American Educators'!D41+'American Integrity'!D41+'Amer Life Asr'!D41+'Amer Std Life Acc'!D41+AmerWstrn!D41+'AMS Life'!D41+'Bankers Commercial'!D41+'Coastal States'!D41+'Confed Life (CLIC)'!D41+'Consolidated National'!D41+'Consumers United'!D41+'Corporate Life'!D41+'Diamond Benefits'!D41+'EBL Life'!D41+'Fidelity Bankers'!D41+'First Natl'!D41+'George Washington'!D41+'Guarantee Security'!D41+'Inter-American'!D41+'Investment Life of America'!D41+'Kentucky Central'!D41+'London Pac'!D41+'Midwest Life'!D41+'Mutual Benefit'!D41+'Mutual Security'!D41+'National Affiliated'!D41+'Natl American'!D41+'New Jersey Life'!D41+'Old Colony Life'!D41+'Old Faithful'!D41+'Pacific Standard'!D41+'States General'!D41+Statesman!D41+'Summit National'!D41+Supreme!D41+Underwriters!D41+Unison!D41+'United Republic'!D41+Universe!D41</f>
        <v>3840910.6922228951</v>
      </c>
      <c r="E41" s="3">
        <f>+'Alabama Life'!E41+'American Chambers'!E41+'American Educators'!E41+'American Integrity'!E41+'Amer Life Asr'!E41+'Amer Std Life Acc'!E41+AmerWstrn!E41+'AMS Life'!E41+'Bankers Commercial'!E41+'Coastal States'!E41+'Confed Life (CLIC)'!E41+'Consolidated National'!E41+'Consumers United'!E41+'Corporate Life'!E41+'Diamond Benefits'!E41+'EBL Life'!E41+'Fidelity Bankers'!E41+'First Natl'!E41+'George Washington'!E41+'Guarantee Security'!E41+'Inter-American'!E41+'Investment Life of America'!E41+'Kentucky Central'!E41+'London Pac'!E41+'Midwest Life'!E41+'Mutual Benefit'!E41+'Mutual Security'!E41+'National Affiliated'!E41+'Natl American'!E41+'New Jersey Life'!E41+'Old Colony Life'!E41+'Old Faithful'!E41+'Pacific Standard'!E41+'States General'!E41+Statesman!E41+'Summit National'!E41+Supreme!E41+Underwriters!E41+Unison!E41+'United Republic'!E41+Universe!E41</f>
        <v>486717.44367666834</v>
      </c>
      <c r="F41" s="3">
        <f t="shared" si="1"/>
        <v>33788734.83333116</v>
      </c>
      <c r="H41" t="s">
        <v>351</v>
      </c>
      <c r="I41" s="3">
        <f>+Summary!L90</f>
        <v>4050017.1599999992</v>
      </c>
    </row>
    <row r="42" spans="1:9">
      <c r="A42" t="s">
        <v>36</v>
      </c>
      <c r="B42" s="3">
        <f>+'Alabama Life'!B42+'American Chambers'!B42+'American Educators'!B42+'American Integrity'!B42+'Amer Life Asr'!B42+'Amer Std Life Acc'!B42+AmerWstrn!B42+'AMS Life'!B42+'Bankers Commercial'!B42+'Coastal States'!B42+'Confed Life (CLIC)'!B42+'Consolidated National'!B42+'Consumers United'!B42+'Corporate Life'!B42+'Diamond Benefits'!B42+'EBL Life'!B42+'Fidelity Bankers'!B42+'First Natl'!B42+'George Washington'!B42+'Guarantee Security'!B42+'Inter-American'!B42+'Investment Life of America'!B42+'Kentucky Central'!B42+'London Pac'!B42+'Midwest Life'!B42+'Mutual Benefit'!B42+'Mutual Security'!B42+'National Affiliated'!B42+'Natl American'!B42+'New Jersey Life'!B42+'Old Colony Life'!B42+'Old Faithful'!B42+'Pacific Standard'!B42+'States General'!B42+Statesman!B42+'Summit National'!B42+Supreme!B42+Underwriters!B42+Unison!B42+'United Republic'!B42+Universe!B42</f>
        <v>5481908.6265282622</v>
      </c>
      <c r="C42" s="3">
        <f>+'Alabama Life'!C42+'American Chambers'!C42+'American Educators'!C42+'American Integrity'!C42+'Amer Life Asr'!C42+'Amer Std Life Acc'!C42+AmerWstrn!C42+'AMS Life'!C42+'Bankers Commercial'!C42+'Coastal States'!C42+'Confed Life (CLIC)'!C42+'Consolidated National'!C42+'Consumers United'!C42+'Corporate Life'!C42+'Diamond Benefits'!C42+'EBL Life'!C42+'Fidelity Bankers'!C42+'First Natl'!C42+'George Washington'!C42+'Guarantee Security'!C42+'Inter-American'!C42+'Investment Life of America'!C42+'Kentucky Central'!C42+'London Pac'!C42+'Midwest Life'!C42+'Mutual Benefit'!C42+'Mutual Security'!C42+'National Affiliated'!C42+'Natl American'!C42+'New Jersey Life'!C42+'Old Colony Life'!C42+'Old Faithful'!C42+'Pacific Standard'!C42+'States General'!C42+Statesman!C42+'Summit National'!C42+Supreme!C42+Underwriters!C42+Unison!C42+'United Republic'!C42+Universe!C42</f>
        <v>11136562.951868426</v>
      </c>
      <c r="D42" s="3">
        <f>+'Alabama Life'!D42+'American Chambers'!D42+'American Educators'!D42+'American Integrity'!D42+'Amer Life Asr'!D42+'Amer Std Life Acc'!D42+AmerWstrn!D42+'AMS Life'!D42+'Bankers Commercial'!D42+'Coastal States'!D42+'Confed Life (CLIC)'!D42+'Consolidated National'!D42+'Consumers United'!D42+'Corporate Life'!D42+'Diamond Benefits'!D42+'EBL Life'!D42+'Fidelity Bankers'!D42+'First Natl'!D42+'George Washington'!D42+'Guarantee Security'!D42+'Inter-American'!D42+'Investment Life of America'!D42+'Kentucky Central'!D42+'London Pac'!D42+'Midwest Life'!D42+'Mutual Benefit'!D42+'Mutual Security'!D42+'National Affiliated'!D42+'Natl American'!D42+'New Jersey Life'!D42+'Old Colony Life'!D42+'Old Faithful'!D42+'Pacific Standard'!D42+'States General'!D42+Statesman!D42+'Summit National'!D42+Supreme!D42+Underwriters!D42+Unison!D42+'United Republic'!D42+Universe!D42</f>
        <v>3303760.7038644683</v>
      </c>
      <c r="E42" s="3">
        <f>+'Alabama Life'!E42+'American Chambers'!E42+'American Educators'!E42+'American Integrity'!E42+'Amer Life Asr'!E42+'Amer Std Life Acc'!E42+AmerWstrn!E42+'AMS Life'!E42+'Bankers Commercial'!E42+'Coastal States'!E42+'Confed Life (CLIC)'!E42+'Consolidated National'!E42+'Consumers United'!E42+'Corporate Life'!E42+'Diamond Benefits'!E42+'EBL Life'!E42+'Fidelity Bankers'!E42+'First Natl'!E42+'George Washington'!E42+'Guarantee Security'!E42+'Inter-American'!E42+'Investment Life of America'!E42+'Kentucky Central'!E42+'London Pac'!E42+'Midwest Life'!E42+'Mutual Benefit'!E42+'Mutual Security'!E42+'National Affiliated'!E42+'Natl American'!E42+'New Jersey Life'!E42+'Old Colony Life'!E42+'Old Faithful'!E42+'Pacific Standard'!E42+'States General'!E42+Statesman!E42+'Summit National'!E42+Supreme!E42+Underwriters!E42+Unison!E42+'United Republic'!E42+Universe!E42</f>
        <v>0</v>
      </c>
      <c r="F42" s="3">
        <f t="shared" si="1"/>
        <v>19922232.282261156</v>
      </c>
      <c r="H42" t="s">
        <v>353</v>
      </c>
      <c r="I42" s="3">
        <f>+Summary!L91</f>
        <v>4582898.7599999821</v>
      </c>
    </row>
    <row r="43" spans="1:9">
      <c r="A43" t="s">
        <v>37</v>
      </c>
      <c r="B43" s="3">
        <f>+'Alabama Life'!B43+'American Chambers'!B43+'American Educators'!B43+'American Integrity'!B43+'Amer Life Asr'!B43+'Amer Std Life Acc'!B43+AmerWstrn!B43+'AMS Life'!B43+'Bankers Commercial'!B43+'Coastal States'!B43+'Confed Life (CLIC)'!B43+'Consolidated National'!B43+'Consumers United'!B43+'Corporate Life'!B43+'Diamond Benefits'!B43+'EBL Life'!B43+'Fidelity Bankers'!B43+'First Natl'!B43+'George Washington'!B43+'Guarantee Security'!B43+'Inter-American'!B43+'Investment Life of America'!B43+'Kentucky Central'!B43+'London Pac'!B43+'Midwest Life'!B43+'Mutual Benefit'!B43+'Mutual Security'!B43+'National Affiliated'!B43+'Natl American'!B43+'New Jersey Life'!B43+'Old Colony Life'!B43+'Old Faithful'!B43+'Pacific Standard'!B43+'States General'!B43+Statesman!B43+'Summit National'!B43+Supreme!B43+Underwriters!B43+Unison!B43+'United Republic'!B43+Universe!B43</f>
        <v>2028640.7719341542</v>
      </c>
      <c r="C43" s="3">
        <f>+'Alabama Life'!C43+'American Chambers'!C43+'American Educators'!C43+'American Integrity'!C43+'Amer Life Asr'!C43+'Amer Std Life Acc'!C43+AmerWstrn!C43+'AMS Life'!C43+'Bankers Commercial'!C43+'Coastal States'!C43+'Confed Life (CLIC)'!C43+'Consolidated National'!C43+'Consumers United'!C43+'Corporate Life'!C43+'Diamond Benefits'!C43+'EBL Life'!C43+'Fidelity Bankers'!C43+'First Natl'!C43+'George Washington'!C43+'Guarantee Security'!C43+'Inter-American'!C43+'Investment Life of America'!C43+'Kentucky Central'!C43+'London Pac'!C43+'Midwest Life'!C43+'Mutual Benefit'!C43+'Mutual Security'!C43+'National Affiliated'!C43+'Natl American'!C43+'New Jersey Life'!C43+'Old Colony Life'!C43+'Old Faithful'!C43+'Pacific Standard'!C43+'States General'!C43+Statesman!C43+'Summit National'!C43+Supreme!C43+Underwriters!C43+Unison!C43+'United Republic'!C43+Universe!C43</f>
        <v>2569796.2426957358</v>
      </c>
      <c r="D43" s="3">
        <f>+'Alabama Life'!D43+'American Chambers'!D43+'American Educators'!D43+'American Integrity'!D43+'Amer Life Asr'!D43+'Amer Std Life Acc'!D43+AmerWstrn!D43+'AMS Life'!D43+'Bankers Commercial'!D43+'Coastal States'!D43+'Confed Life (CLIC)'!D43+'Consolidated National'!D43+'Consumers United'!D43+'Corporate Life'!D43+'Diamond Benefits'!D43+'EBL Life'!D43+'Fidelity Bankers'!D43+'First Natl'!D43+'George Washington'!D43+'Guarantee Security'!D43+'Inter-American'!D43+'Investment Life of America'!D43+'Kentucky Central'!D43+'London Pac'!D43+'Midwest Life'!D43+'Mutual Benefit'!D43+'Mutual Security'!D43+'National Affiliated'!D43+'Natl American'!D43+'New Jersey Life'!D43+'Old Colony Life'!D43+'Old Faithful'!D43+'Pacific Standard'!D43+'States General'!D43+Statesman!D43+'Summit National'!D43+Supreme!D43+Underwriters!D43+Unison!D43+'United Republic'!D43+Universe!D43</f>
        <v>1027841.2755772541</v>
      </c>
      <c r="E43" s="3">
        <f>+'Alabama Life'!E43+'American Chambers'!E43+'American Educators'!E43+'American Integrity'!E43+'Amer Life Asr'!E43+'Amer Std Life Acc'!E43+AmerWstrn!E43+'AMS Life'!E43+'Bankers Commercial'!E43+'Coastal States'!E43+'Confed Life (CLIC)'!E43+'Consolidated National'!E43+'Consumers United'!E43+'Corporate Life'!E43+'Diamond Benefits'!E43+'EBL Life'!E43+'Fidelity Bankers'!E43+'First Natl'!E43+'George Washington'!E43+'Guarantee Security'!E43+'Inter-American'!E43+'Investment Life of America'!E43+'Kentucky Central'!E43+'London Pac'!E43+'Midwest Life'!E43+'Mutual Benefit'!E43+'Mutual Security'!E43+'National Affiliated'!E43+'Natl American'!E43+'New Jersey Life'!E43+'Old Colony Life'!E43+'Old Faithful'!E43+'Pacific Standard'!E43+'States General'!E43+Statesman!E43+'Summit National'!E43+Supreme!E43+Underwriters!E43+Unison!E43+'United Republic'!E43+Universe!E43</f>
        <v>0</v>
      </c>
      <c r="F43" s="3">
        <f t="shared" si="1"/>
        <v>5626278.2902071439</v>
      </c>
      <c r="H43" t="s">
        <v>355</v>
      </c>
      <c r="I43" s="3">
        <f>+Summary!L92</f>
        <v>44823.729999999996</v>
      </c>
    </row>
    <row r="44" spans="1:9">
      <c r="A44" t="s">
        <v>38</v>
      </c>
      <c r="B44" s="3">
        <f>+'Alabama Life'!B44+'American Chambers'!B44+'American Educators'!B44+'American Integrity'!B44+'Amer Life Asr'!B44+'Amer Std Life Acc'!B44+AmerWstrn!B44+'AMS Life'!B44+'Bankers Commercial'!B44+'Coastal States'!B44+'Confed Life (CLIC)'!B44+'Consolidated National'!B44+'Consumers United'!B44+'Corporate Life'!B44+'Diamond Benefits'!B44+'EBL Life'!B44+'Fidelity Bankers'!B44+'First Natl'!B44+'George Washington'!B44+'Guarantee Security'!B44+'Inter-American'!B44+'Investment Life of America'!B44+'Kentucky Central'!B44+'London Pac'!B44+'Midwest Life'!B44+'Mutual Benefit'!B44+'Mutual Security'!B44+'National Affiliated'!B44+'Natl American'!B44+'New Jersey Life'!B44+'Old Colony Life'!B44+'Old Faithful'!B44+'Pacific Standard'!B44+'States General'!B44+Statesman!B44+'Summit National'!B44+Supreme!B44+Underwriters!B44+Unison!B44+'United Republic'!B44+Universe!B44</f>
        <v>23678789.008712303</v>
      </c>
      <c r="C44" s="3">
        <f>+'Alabama Life'!C44+'American Chambers'!C44+'American Educators'!C44+'American Integrity'!C44+'Amer Life Asr'!C44+'Amer Std Life Acc'!C44+AmerWstrn!C44+'AMS Life'!C44+'Bankers Commercial'!C44+'Coastal States'!C44+'Confed Life (CLIC)'!C44+'Consolidated National'!C44+'Consumers United'!C44+'Corporate Life'!C44+'Diamond Benefits'!C44+'EBL Life'!C44+'Fidelity Bankers'!C44+'First Natl'!C44+'George Washington'!C44+'Guarantee Security'!C44+'Inter-American'!C44+'Investment Life of America'!C44+'Kentucky Central'!C44+'London Pac'!C44+'Midwest Life'!C44+'Mutual Benefit'!C44+'Mutual Security'!C44+'National Affiliated'!C44+'Natl American'!C44+'New Jersey Life'!C44+'Old Colony Life'!C44+'Old Faithful'!C44+'Pacific Standard'!C44+'States General'!C44+Statesman!C44+'Summit National'!C44+Supreme!C44+Underwriters!C44+Unison!C44+'United Republic'!C44+Universe!C44</f>
        <v>181123541.9295277</v>
      </c>
      <c r="D44" s="3">
        <f>+'Alabama Life'!D44+'American Chambers'!D44+'American Educators'!D44+'American Integrity'!D44+'Amer Life Asr'!D44+'Amer Std Life Acc'!D44+AmerWstrn!D44+'AMS Life'!D44+'Bankers Commercial'!D44+'Coastal States'!D44+'Confed Life (CLIC)'!D44+'Consolidated National'!D44+'Consumers United'!D44+'Corporate Life'!D44+'Diamond Benefits'!D44+'EBL Life'!D44+'Fidelity Bankers'!D44+'First Natl'!D44+'George Washington'!D44+'Guarantee Security'!D44+'Inter-American'!D44+'Investment Life of America'!D44+'Kentucky Central'!D44+'London Pac'!D44+'Midwest Life'!D44+'Mutual Benefit'!D44+'Mutual Security'!D44+'National Affiliated'!D44+'Natl American'!D44+'New Jersey Life'!D44+'Old Colony Life'!D44+'Old Faithful'!D44+'Pacific Standard'!D44+'States General'!D44+Statesman!D44+'Summit National'!D44+Supreme!D44+Underwriters!D44+Unison!D44+'United Republic'!D44+Universe!D44</f>
        <v>579852.75208327617</v>
      </c>
      <c r="E44" s="3">
        <f>+'Alabama Life'!E44+'American Chambers'!E44+'American Educators'!E44+'American Integrity'!E44+'Amer Life Asr'!E44+'Amer Std Life Acc'!E44+AmerWstrn!E44+'AMS Life'!E44+'Bankers Commercial'!E44+'Coastal States'!E44+'Confed Life (CLIC)'!E44+'Consolidated National'!E44+'Consumers United'!E44+'Corporate Life'!E44+'Diamond Benefits'!E44+'EBL Life'!E44+'Fidelity Bankers'!E44+'First Natl'!E44+'George Washington'!E44+'Guarantee Security'!E44+'Inter-American'!E44+'Investment Life of America'!E44+'Kentucky Central'!E44+'London Pac'!E44+'Midwest Life'!E44+'Mutual Benefit'!E44+'Mutual Security'!E44+'National Affiliated'!E44+'Natl American'!E44+'New Jersey Life'!E44+'Old Colony Life'!E44+'Old Faithful'!E44+'Pacific Standard'!E44+'States General'!E44+Statesman!E44+'Summit National'!E44+Supreme!E44+Underwriters!E44+Unison!E44+'United Republic'!E44+Universe!E44</f>
        <v>1532752.2825306954</v>
      </c>
      <c r="F44" s="3">
        <f t="shared" si="1"/>
        <v>206914935.97285396</v>
      </c>
      <c r="H44" t="s">
        <v>357</v>
      </c>
      <c r="I44" s="3">
        <f>+Summary!L93</f>
        <v>8106994</v>
      </c>
    </row>
    <row r="45" spans="1:9">
      <c r="A45" t="s">
        <v>39</v>
      </c>
      <c r="B45" s="3">
        <f>+'Alabama Life'!B45+'American Chambers'!B45+'American Educators'!B45+'American Integrity'!B45+'Amer Life Asr'!B45+'Amer Std Life Acc'!B45+AmerWstrn!B45+'AMS Life'!B45+'Bankers Commercial'!B45+'Coastal States'!B45+'Confed Life (CLIC)'!B45+'Consolidated National'!B45+'Consumers United'!B45+'Corporate Life'!B45+'Diamond Benefits'!B45+'EBL Life'!B45+'Fidelity Bankers'!B45+'First Natl'!B45+'George Washington'!B45+'Guarantee Security'!B45+'Inter-American'!B45+'Investment Life of America'!B45+'Kentucky Central'!B45+'London Pac'!B45+'Midwest Life'!B45+'Mutual Benefit'!B45+'Mutual Security'!B45+'National Affiliated'!B45+'Natl American'!B45+'New Jersey Life'!B45+'Old Colony Life'!B45+'Old Faithful'!B45+'Pacific Standard'!B45+'States General'!B45+Statesman!B45+'Summit National'!B45+Supreme!B45+Underwriters!B45+Unison!B45+'United Republic'!B45+Universe!B45</f>
        <v>48616.425303708907</v>
      </c>
      <c r="C45" s="3">
        <f>+'Alabama Life'!C45+'American Chambers'!C45+'American Educators'!C45+'American Integrity'!C45+'Amer Life Asr'!C45+'Amer Std Life Acc'!C45+AmerWstrn!C45+'AMS Life'!C45+'Bankers Commercial'!C45+'Coastal States'!C45+'Confed Life (CLIC)'!C45+'Consolidated National'!C45+'Consumers United'!C45+'Corporate Life'!C45+'Diamond Benefits'!C45+'EBL Life'!C45+'Fidelity Bankers'!C45+'First Natl'!C45+'George Washington'!C45+'Guarantee Security'!C45+'Inter-American'!C45+'Investment Life of America'!C45+'Kentucky Central'!C45+'London Pac'!C45+'Midwest Life'!C45+'Mutual Benefit'!C45+'Mutual Security'!C45+'National Affiliated'!C45+'Natl American'!C45+'New Jersey Life'!C45+'Old Colony Life'!C45+'Old Faithful'!C45+'Pacific Standard'!C45+'States General'!C45+Statesman!C45+'Summit National'!C45+Supreme!C45+Underwriters!C45+Unison!C45+'United Republic'!C45+Universe!C45</f>
        <v>-6.0853790860037122</v>
      </c>
      <c r="D45" s="3">
        <f>+'Alabama Life'!D45+'American Chambers'!D45+'American Educators'!D45+'American Integrity'!D45+'Amer Life Asr'!D45+'Amer Std Life Acc'!D45+AmerWstrn!D45+'AMS Life'!D45+'Bankers Commercial'!D45+'Coastal States'!D45+'Confed Life (CLIC)'!D45+'Consolidated National'!D45+'Consumers United'!D45+'Corporate Life'!D45+'Diamond Benefits'!D45+'EBL Life'!D45+'Fidelity Bankers'!D45+'First Natl'!D45+'George Washington'!D45+'Guarantee Security'!D45+'Inter-American'!D45+'Investment Life of America'!D45+'Kentucky Central'!D45+'London Pac'!D45+'Midwest Life'!D45+'Mutual Benefit'!D45+'Mutual Security'!D45+'National Affiliated'!D45+'Natl American'!D45+'New Jersey Life'!D45+'Old Colony Life'!D45+'Old Faithful'!D45+'Pacific Standard'!D45+'States General'!D45+Statesman!D45+'Summit National'!D45+Supreme!D45+Underwriters!D45+Unison!D45+'United Republic'!D45+Universe!D45</f>
        <v>0</v>
      </c>
      <c r="E45" s="3">
        <f>+'Alabama Life'!E45+'American Chambers'!E45+'American Educators'!E45+'American Integrity'!E45+'Amer Life Asr'!E45+'Amer Std Life Acc'!E45+AmerWstrn!E45+'AMS Life'!E45+'Bankers Commercial'!E45+'Coastal States'!E45+'Confed Life (CLIC)'!E45+'Consolidated National'!E45+'Consumers United'!E45+'Corporate Life'!E45+'Diamond Benefits'!E45+'EBL Life'!E45+'Fidelity Bankers'!E45+'First Natl'!E45+'George Washington'!E45+'Guarantee Security'!E45+'Inter-American'!E45+'Investment Life of America'!E45+'Kentucky Central'!E45+'London Pac'!E45+'Midwest Life'!E45+'Mutual Benefit'!E45+'Mutual Security'!E45+'National Affiliated'!E45+'Natl American'!E45+'New Jersey Life'!E45+'Old Colony Life'!E45+'Old Faithful'!E45+'Pacific Standard'!E45+'States General'!E45+Statesman!E45+'Summit National'!E45+Supreme!E45+Underwriters!E45+Unison!E45+'United Republic'!E45+Universe!E45</f>
        <v>0</v>
      </c>
      <c r="F45" s="3">
        <f t="shared" si="1"/>
        <v>48610.339924622902</v>
      </c>
      <c r="H45" t="s">
        <v>360</v>
      </c>
      <c r="I45" s="3">
        <f>+Summary!L94</f>
        <v>13414920.088913549</v>
      </c>
    </row>
    <row r="46" spans="1:9">
      <c r="A46" t="s">
        <v>40</v>
      </c>
      <c r="B46" s="3">
        <f>+'Alabama Life'!B46+'American Chambers'!B46+'American Educators'!B46+'American Integrity'!B46+'Amer Life Asr'!B46+'Amer Std Life Acc'!B46+AmerWstrn!B46+'AMS Life'!B46+'Bankers Commercial'!B46+'Coastal States'!B46+'Confed Life (CLIC)'!B46+'Consolidated National'!B46+'Consumers United'!B46+'Corporate Life'!B46+'Diamond Benefits'!B46+'EBL Life'!B46+'Fidelity Bankers'!B46+'First Natl'!B46+'George Washington'!B46+'Guarantee Security'!B46+'Inter-American'!B46+'Investment Life of America'!B46+'Kentucky Central'!B46+'London Pac'!B46+'Midwest Life'!B46+'Mutual Benefit'!B46+'Mutual Security'!B46+'National Affiliated'!B46+'Natl American'!B46+'New Jersey Life'!B46+'Old Colony Life'!B46+'Old Faithful'!B46+'Pacific Standard'!B46+'States General'!B46+Statesman!B46+'Summit National'!B46+Supreme!B46+Underwriters!B46+Unison!B46+'United Republic'!B46+Universe!B46</f>
        <v>331355.12175594229</v>
      </c>
      <c r="C46" s="3">
        <f>+'Alabama Life'!C46+'American Chambers'!C46+'American Educators'!C46+'American Integrity'!C46+'Amer Life Asr'!C46+'Amer Std Life Acc'!C46+AmerWstrn!C46+'AMS Life'!C46+'Bankers Commercial'!C46+'Coastal States'!C46+'Confed Life (CLIC)'!C46+'Consolidated National'!C46+'Consumers United'!C46+'Corporate Life'!C46+'Diamond Benefits'!C46+'EBL Life'!C46+'Fidelity Bankers'!C46+'First Natl'!C46+'George Washington'!C46+'Guarantee Security'!C46+'Inter-American'!C46+'Investment Life of America'!C46+'Kentucky Central'!C46+'London Pac'!C46+'Midwest Life'!C46+'Mutual Benefit'!C46+'Mutual Security'!C46+'National Affiliated'!C46+'Natl American'!C46+'New Jersey Life'!C46+'Old Colony Life'!C46+'Old Faithful'!C46+'Pacific Standard'!C46+'States General'!C46+Statesman!C46+'Summit National'!C46+Supreme!C46+Underwriters!C46+Unison!C46+'United Republic'!C46+Universe!C46</f>
        <v>251139.78451283771</v>
      </c>
      <c r="D46" s="3">
        <f>+'Alabama Life'!D46+'American Chambers'!D46+'American Educators'!D46+'American Integrity'!D46+'Amer Life Asr'!D46+'Amer Std Life Acc'!D46+AmerWstrn!D46+'AMS Life'!D46+'Bankers Commercial'!D46+'Coastal States'!D46+'Confed Life (CLIC)'!D46+'Consolidated National'!D46+'Consumers United'!D46+'Corporate Life'!D46+'Diamond Benefits'!D46+'EBL Life'!D46+'Fidelity Bankers'!D46+'First Natl'!D46+'George Washington'!D46+'Guarantee Security'!D46+'Inter-American'!D46+'Investment Life of America'!D46+'Kentucky Central'!D46+'London Pac'!D46+'Midwest Life'!D46+'Mutual Benefit'!D46+'Mutual Security'!D46+'National Affiliated'!D46+'Natl American'!D46+'New Jersey Life'!D46+'Old Colony Life'!D46+'Old Faithful'!D46+'Pacific Standard'!D46+'States General'!D46+Statesman!D46+'Summit National'!D46+Supreme!D46+Underwriters!D46+Unison!D46+'United Republic'!D46+Universe!D46</f>
        <v>3110.7015889882464</v>
      </c>
      <c r="E46" s="3">
        <f>+'Alabama Life'!E46+'American Chambers'!E46+'American Educators'!E46+'American Integrity'!E46+'Amer Life Asr'!E46+'Amer Std Life Acc'!E46+AmerWstrn!E46+'AMS Life'!E46+'Bankers Commercial'!E46+'Coastal States'!E46+'Confed Life (CLIC)'!E46+'Consolidated National'!E46+'Consumers United'!E46+'Corporate Life'!E46+'Diamond Benefits'!E46+'EBL Life'!E46+'Fidelity Bankers'!E46+'First Natl'!E46+'George Washington'!E46+'Guarantee Security'!E46+'Inter-American'!E46+'Investment Life of America'!E46+'Kentucky Central'!E46+'London Pac'!E46+'Midwest Life'!E46+'Mutual Benefit'!E46+'Mutual Security'!E46+'National Affiliated'!E46+'Natl American'!E46+'New Jersey Life'!E46+'Old Colony Life'!E46+'Old Faithful'!E46+'Pacific Standard'!E46+'States General'!E46+Statesman!E46+'Summit National'!E46+Supreme!E46+Underwriters!E46+Unison!E46+'United Republic'!E46+Universe!E46</f>
        <v>0</v>
      </c>
      <c r="F46" s="3">
        <f t="shared" si="1"/>
        <v>585605.60785776831</v>
      </c>
      <c r="H46" t="s">
        <v>362</v>
      </c>
      <c r="I46" s="3">
        <f>+Summary!L95</f>
        <v>43058.400000000001</v>
      </c>
    </row>
    <row r="47" spans="1:9">
      <c r="A47" t="s">
        <v>41</v>
      </c>
      <c r="B47" s="3">
        <f>+'Alabama Life'!B47+'American Chambers'!B47+'American Educators'!B47+'American Integrity'!B47+'Amer Life Asr'!B47+'Amer Std Life Acc'!B47+AmerWstrn!B47+'AMS Life'!B47+'Bankers Commercial'!B47+'Coastal States'!B47+'Confed Life (CLIC)'!B47+'Consolidated National'!B47+'Consumers United'!B47+'Corporate Life'!B47+'Diamond Benefits'!B47+'EBL Life'!B47+'Fidelity Bankers'!B47+'First Natl'!B47+'George Washington'!B47+'Guarantee Security'!B47+'Inter-American'!B47+'Investment Life of America'!B47+'Kentucky Central'!B47+'London Pac'!B47+'Midwest Life'!B47+'Mutual Benefit'!B47+'Mutual Security'!B47+'National Affiliated'!B47+'Natl American'!B47+'New Jersey Life'!B47+'Old Colony Life'!B47+'Old Faithful'!B47+'Pacific Standard'!B47+'States General'!B47+Statesman!B47+'Summit National'!B47+Supreme!B47+Underwriters!B47+Unison!B47+'United Republic'!B47+Universe!B47</f>
        <v>4981977.4496861622</v>
      </c>
      <c r="C47" s="3">
        <f>+'Alabama Life'!C47+'American Chambers'!C47+'American Educators'!C47+'American Integrity'!C47+'Amer Life Asr'!C47+'Amer Std Life Acc'!C47+AmerWstrn!C47+'AMS Life'!C47+'Bankers Commercial'!C47+'Coastal States'!C47+'Confed Life (CLIC)'!C47+'Consolidated National'!C47+'Consumers United'!C47+'Corporate Life'!C47+'Diamond Benefits'!C47+'EBL Life'!C47+'Fidelity Bankers'!C47+'First Natl'!C47+'George Washington'!C47+'Guarantee Security'!C47+'Inter-American'!C47+'Investment Life of America'!C47+'Kentucky Central'!C47+'London Pac'!C47+'Midwest Life'!C47+'Mutual Benefit'!C47+'Mutual Security'!C47+'National Affiliated'!C47+'Natl American'!C47+'New Jersey Life'!C47+'Old Colony Life'!C47+'Old Faithful'!C47+'Pacific Standard'!C47+'States General'!C47+Statesman!C47+'Summit National'!C47+Supreme!C47+Underwriters!C47+Unison!C47+'United Republic'!C47+Universe!C47</f>
        <v>7148396.6556963287</v>
      </c>
      <c r="D47" s="3">
        <f>+'Alabama Life'!D47+'American Chambers'!D47+'American Educators'!D47+'American Integrity'!D47+'Amer Life Asr'!D47+'Amer Std Life Acc'!D47+AmerWstrn!D47+'AMS Life'!D47+'Bankers Commercial'!D47+'Coastal States'!D47+'Confed Life (CLIC)'!D47+'Consolidated National'!D47+'Consumers United'!D47+'Corporate Life'!D47+'Diamond Benefits'!D47+'EBL Life'!D47+'Fidelity Bankers'!D47+'First Natl'!D47+'George Washington'!D47+'Guarantee Security'!D47+'Inter-American'!D47+'Investment Life of America'!D47+'Kentucky Central'!D47+'London Pac'!D47+'Midwest Life'!D47+'Mutual Benefit'!D47+'Mutual Security'!D47+'National Affiliated'!D47+'Natl American'!D47+'New Jersey Life'!D47+'Old Colony Life'!D47+'Old Faithful'!D47+'Pacific Standard'!D47+'States General'!D47+Statesman!D47+'Summit National'!D47+Supreme!D47+Underwriters!D47+Unison!D47+'United Republic'!D47+Universe!D47</f>
        <v>1309838.1399252396</v>
      </c>
      <c r="E47" s="3">
        <f>+'Alabama Life'!E47+'American Chambers'!E47+'American Educators'!E47+'American Integrity'!E47+'Amer Life Asr'!E47+'Amer Std Life Acc'!E47+AmerWstrn!E47+'AMS Life'!E47+'Bankers Commercial'!E47+'Coastal States'!E47+'Confed Life (CLIC)'!E47+'Consolidated National'!E47+'Consumers United'!E47+'Corporate Life'!E47+'Diamond Benefits'!E47+'EBL Life'!E47+'Fidelity Bankers'!E47+'First Natl'!E47+'George Washington'!E47+'Guarantee Security'!E47+'Inter-American'!E47+'Investment Life of America'!E47+'Kentucky Central'!E47+'London Pac'!E47+'Midwest Life'!E47+'Mutual Benefit'!E47+'Mutual Security'!E47+'National Affiliated'!E47+'Natl American'!E47+'New Jersey Life'!E47+'Old Colony Life'!E47+'Old Faithful'!E47+'Pacific Standard'!E47+'States General'!E47+Statesman!E47+'Summit National'!E47+Supreme!E47+Underwriters!E47+Unison!E47+'United Republic'!E47+Universe!E47</f>
        <v>0</v>
      </c>
      <c r="F47" s="3">
        <f t="shared" si="1"/>
        <v>13440212.245307731</v>
      </c>
      <c r="H47" t="s">
        <v>364</v>
      </c>
      <c r="I47" s="3">
        <f>+Summary!L96</f>
        <v>10420188.498</v>
      </c>
    </row>
    <row r="48" spans="1:9">
      <c r="A48" t="s">
        <v>42</v>
      </c>
      <c r="B48" s="3">
        <f>+'Alabama Life'!B48+'American Chambers'!B48+'American Educators'!B48+'American Integrity'!B48+'Amer Life Asr'!B48+'Amer Std Life Acc'!B48+AmerWstrn!B48+'AMS Life'!B48+'Bankers Commercial'!B48+'Coastal States'!B48+'Confed Life (CLIC)'!B48+'Consolidated National'!B48+'Consumers United'!B48+'Corporate Life'!B48+'Diamond Benefits'!B48+'EBL Life'!B48+'Fidelity Bankers'!B48+'First Natl'!B48+'George Washington'!B48+'Guarantee Security'!B48+'Inter-American'!B48+'Investment Life of America'!B48+'Kentucky Central'!B48+'London Pac'!B48+'Midwest Life'!B48+'Mutual Benefit'!B48+'Mutual Security'!B48+'National Affiliated'!B48+'Natl American'!B48+'New Jersey Life'!B48+'Old Colony Life'!B48+'Old Faithful'!B48+'Pacific Standard'!B48+'States General'!B48+Statesman!B48+'Summit National'!B48+Supreme!B48+Underwriters!B48+Unison!B48+'United Republic'!B48+Universe!B48</f>
        <v>744722.56399355759</v>
      </c>
      <c r="C48" s="3">
        <f>+'Alabama Life'!C48+'American Chambers'!C48+'American Educators'!C48+'American Integrity'!C48+'Amer Life Asr'!C48+'Amer Std Life Acc'!C48+AmerWstrn!C48+'AMS Life'!C48+'Bankers Commercial'!C48+'Coastal States'!C48+'Confed Life (CLIC)'!C48+'Consolidated National'!C48+'Consumers United'!C48+'Corporate Life'!C48+'Diamond Benefits'!C48+'EBL Life'!C48+'Fidelity Bankers'!C48+'First Natl'!C48+'George Washington'!C48+'Guarantee Security'!C48+'Inter-American'!C48+'Investment Life of America'!C48+'Kentucky Central'!C48+'London Pac'!C48+'Midwest Life'!C48+'Mutual Benefit'!C48+'Mutual Security'!C48+'National Affiliated'!C48+'Natl American'!C48+'New Jersey Life'!C48+'Old Colony Life'!C48+'Old Faithful'!C48+'Pacific Standard'!C48+'States General'!C48+Statesman!C48+'Summit National'!C48+Supreme!C48+Underwriters!C48+Unison!C48+'United Republic'!C48+Universe!C48</f>
        <v>1964174.8804243675</v>
      </c>
      <c r="D48" s="3">
        <f>+'Alabama Life'!D48+'American Chambers'!D48+'American Educators'!D48+'American Integrity'!D48+'Amer Life Asr'!D48+'Amer Std Life Acc'!D48+AmerWstrn!D48+'AMS Life'!D48+'Bankers Commercial'!D48+'Coastal States'!D48+'Confed Life (CLIC)'!D48+'Consolidated National'!D48+'Consumers United'!D48+'Corporate Life'!D48+'Diamond Benefits'!D48+'EBL Life'!D48+'Fidelity Bankers'!D48+'First Natl'!D48+'George Washington'!D48+'Guarantee Security'!D48+'Inter-American'!D48+'Investment Life of America'!D48+'Kentucky Central'!D48+'London Pac'!D48+'Midwest Life'!D48+'Mutual Benefit'!D48+'Mutual Security'!D48+'National Affiliated'!D48+'Natl American'!D48+'New Jersey Life'!D48+'Old Colony Life'!D48+'Old Faithful'!D48+'Pacific Standard'!D48+'States General'!D48+Statesman!D48+'Summit National'!D48+Supreme!D48+Underwriters!D48+Unison!D48+'United Republic'!D48+Universe!D48</f>
        <v>1479542.4920002979</v>
      </c>
      <c r="E48" s="3">
        <f>+'Alabama Life'!E48+'American Chambers'!E48+'American Educators'!E48+'American Integrity'!E48+'Amer Life Asr'!E48+'Amer Std Life Acc'!E48+AmerWstrn!E48+'AMS Life'!E48+'Bankers Commercial'!E48+'Coastal States'!E48+'Confed Life (CLIC)'!E48+'Consolidated National'!E48+'Consumers United'!E48+'Corporate Life'!E48+'Diamond Benefits'!E48+'EBL Life'!E48+'Fidelity Bankers'!E48+'First Natl'!E48+'George Washington'!E48+'Guarantee Security'!E48+'Inter-American'!E48+'Investment Life of America'!E48+'Kentucky Central'!E48+'London Pac'!E48+'Midwest Life'!E48+'Mutual Benefit'!E48+'Mutual Security'!E48+'National Affiliated'!E48+'Natl American'!E48+'New Jersey Life'!E48+'Old Colony Life'!E48+'Old Faithful'!E48+'Pacific Standard'!E48+'States General'!E48+Statesman!E48+'Summit National'!E48+Supreme!E48+Underwriters!E48+Unison!E48+'United Republic'!E48+Universe!E48</f>
        <v>0</v>
      </c>
      <c r="F48" s="3">
        <f t="shared" si="1"/>
        <v>4188439.9364182232</v>
      </c>
      <c r="I48" s="3"/>
    </row>
    <row r="49" spans="1:9">
      <c r="A49" t="s">
        <v>43</v>
      </c>
      <c r="B49" s="3">
        <f>+'Alabama Life'!B49+'American Chambers'!B49+'American Educators'!B49+'American Integrity'!B49+'Amer Life Asr'!B49+'Amer Std Life Acc'!B49+AmerWstrn!B49+'AMS Life'!B49+'Bankers Commercial'!B49+'Coastal States'!B49+'Confed Life (CLIC)'!B49+'Consolidated National'!B49+'Consumers United'!B49+'Corporate Life'!B49+'Diamond Benefits'!B49+'EBL Life'!B49+'Fidelity Bankers'!B49+'First Natl'!B49+'George Washington'!B49+'Guarantee Security'!B49+'Inter-American'!B49+'Investment Life of America'!B49+'Kentucky Central'!B49+'London Pac'!B49+'Midwest Life'!B49+'Mutual Benefit'!B49+'Mutual Security'!B49+'National Affiliated'!B49+'Natl American'!B49+'New Jersey Life'!B49+'Old Colony Life'!B49+'Old Faithful'!B49+'Pacific Standard'!B49+'States General'!B49+Statesman!B49+'Summit National'!B49+Supreme!B49+Underwriters!B49+Unison!B49+'United Republic'!B49+Universe!B49</f>
        <v>2252905.1518689138</v>
      </c>
      <c r="C49" s="3">
        <f>+'Alabama Life'!C49+'American Chambers'!C49+'American Educators'!C49+'American Integrity'!C49+'Amer Life Asr'!C49+'Amer Std Life Acc'!C49+AmerWstrn!C49+'AMS Life'!C49+'Bankers Commercial'!C49+'Coastal States'!C49+'Confed Life (CLIC)'!C49+'Consolidated National'!C49+'Consumers United'!C49+'Corporate Life'!C49+'Diamond Benefits'!C49+'EBL Life'!C49+'Fidelity Bankers'!C49+'First Natl'!C49+'George Washington'!C49+'Guarantee Security'!C49+'Inter-American'!C49+'Investment Life of America'!C49+'Kentucky Central'!C49+'London Pac'!C49+'Midwest Life'!C49+'Mutual Benefit'!C49+'Mutual Security'!C49+'National Affiliated'!C49+'Natl American'!C49+'New Jersey Life'!C49+'Old Colony Life'!C49+'Old Faithful'!C49+'Pacific Standard'!C49+'States General'!C49+Statesman!C49+'Summit National'!C49+Supreme!C49+Underwriters!C49+Unison!C49+'United Republic'!C49+Universe!C49</f>
        <v>3440331.471307497</v>
      </c>
      <c r="D49" s="3">
        <f>+'Alabama Life'!D49+'American Chambers'!D49+'American Educators'!D49+'American Integrity'!D49+'Amer Life Asr'!D49+'Amer Std Life Acc'!D49+AmerWstrn!D49+'AMS Life'!D49+'Bankers Commercial'!D49+'Coastal States'!D49+'Confed Life (CLIC)'!D49+'Consolidated National'!D49+'Consumers United'!D49+'Corporate Life'!D49+'Diamond Benefits'!D49+'EBL Life'!D49+'Fidelity Bankers'!D49+'First Natl'!D49+'George Washington'!D49+'Guarantee Security'!D49+'Inter-American'!D49+'Investment Life of America'!D49+'Kentucky Central'!D49+'London Pac'!D49+'Midwest Life'!D49+'Mutual Benefit'!D49+'Mutual Security'!D49+'National Affiliated'!D49+'Natl American'!D49+'New Jersey Life'!D49+'Old Colony Life'!D49+'Old Faithful'!D49+'Pacific Standard'!D49+'States General'!D49+Statesman!D49+'Summit National'!D49+Supreme!D49+Underwriters!D49+Unison!D49+'United Republic'!D49+Universe!D49</f>
        <v>2244746.1016475745</v>
      </c>
      <c r="E49" s="3">
        <f>+'Alabama Life'!E49+'American Chambers'!E49+'American Educators'!E49+'American Integrity'!E49+'Amer Life Asr'!E49+'Amer Std Life Acc'!E49+AmerWstrn!E49+'AMS Life'!E49+'Bankers Commercial'!E49+'Coastal States'!E49+'Confed Life (CLIC)'!E49+'Consolidated National'!E49+'Consumers United'!E49+'Corporate Life'!E49+'Diamond Benefits'!E49+'EBL Life'!E49+'Fidelity Bankers'!E49+'First Natl'!E49+'George Washington'!E49+'Guarantee Security'!E49+'Inter-American'!E49+'Investment Life of America'!E49+'Kentucky Central'!E49+'London Pac'!E49+'Midwest Life'!E49+'Mutual Benefit'!E49+'Mutual Security'!E49+'National Affiliated'!E49+'Natl American'!E49+'New Jersey Life'!E49+'Old Colony Life'!E49+'Old Faithful'!E49+'Pacific Standard'!E49+'States General'!E49+Statesman!E49+'Summit National'!E49+Supreme!E49+Underwriters!E49+Unison!E49+'United Republic'!E49+Universe!E49</f>
        <v>0</v>
      </c>
      <c r="F49" s="3">
        <f t="shared" si="1"/>
        <v>7937982.7248239852</v>
      </c>
      <c r="H49" t="s">
        <v>59</v>
      </c>
      <c r="I49" s="3">
        <f>SUM(I6:I48)</f>
        <v>927786167.74152207</v>
      </c>
    </row>
    <row r="50" spans="1:9">
      <c r="A50" t="s">
        <v>44</v>
      </c>
      <c r="B50" s="3">
        <f>+'Alabama Life'!B50+'American Chambers'!B50+'American Educators'!B50+'American Integrity'!B50+'Amer Life Asr'!B50+'Amer Std Life Acc'!B50+AmerWstrn!B50+'AMS Life'!B50+'Bankers Commercial'!B50+'Coastal States'!B50+'Confed Life (CLIC)'!B50+'Consolidated National'!B50+'Consumers United'!B50+'Corporate Life'!B50+'Diamond Benefits'!B50+'EBL Life'!B50+'Fidelity Bankers'!B50+'First Natl'!B50+'George Washington'!B50+'Guarantee Security'!B50+'Inter-American'!B50+'Investment Life of America'!B50+'Kentucky Central'!B50+'London Pac'!B50+'Midwest Life'!B50+'Mutual Benefit'!B50+'Mutual Security'!B50+'National Affiliated'!B50+'Natl American'!B50+'New Jersey Life'!B50+'Old Colony Life'!B50+'Old Faithful'!B50+'Pacific Standard'!B50+'States General'!B50+Statesman!B50+'Summit National'!B50+Supreme!B50+Underwriters!B50+Unison!B50+'United Republic'!B50+Universe!B50</f>
        <v>7990750.4957349887</v>
      </c>
      <c r="C50" s="3">
        <f>+'Alabama Life'!C50+'American Chambers'!C50+'American Educators'!C50+'American Integrity'!C50+'Amer Life Asr'!C50+'Amer Std Life Acc'!C50+AmerWstrn!C50+'AMS Life'!C50+'Bankers Commercial'!C50+'Coastal States'!C50+'Confed Life (CLIC)'!C50+'Consolidated National'!C50+'Consumers United'!C50+'Corporate Life'!C50+'Diamond Benefits'!C50+'EBL Life'!C50+'Fidelity Bankers'!C50+'First Natl'!C50+'George Washington'!C50+'Guarantee Security'!C50+'Inter-American'!C50+'Investment Life of America'!C50+'Kentucky Central'!C50+'London Pac'!C50+'Midwest Life'!C50+'Mutual Benefit'!C50+'Mutual Security'!C50+'National Affiliated'!C50+'Natl American'!C50+'New Jersey Life'!C50+'Old Colony Life'!C50+'Old Faithful'!C50+'Pacific Standard'!C50+'States General'!C50+Statesman!C50+'Summit National'!C50+Supreme!C50+Underwriters!C50+Unison!C50+'United Republic'!C50+Universe!C50</f>
        <v>29191664.063932564</v>
      </c>
      <c r="D50" s="3">
        <f>+'Alabama Life'!D50+'American Chambers'!D50+'American Educators'!D50+'American Integrity'!D50+'Amer Life Asr'!D50+'Amer Std Life Acc'!D50+AmerWstrn!D50+'AMS Life'!D50+'Bankers Commercial'!D50+'Coastal States'!D50+'Confed Life (CLIC)'!D50+'Consolidated National'!D50+'Consumers United'!D50+'Corporate Life'!D50+'Diamond Benefits'!D50+'EBL Life'!D50+'Fidelity Bankers'!D50+'First Natl'!D50+'George Washington'!D50+'Guarantee Security'!D50+'Inter-American'!D50+'Investment Life of America'!D50+'Kentucky Central'!D50+'London Pac'!D50+'Midwest Life'!D50+'Mutual Benefit'!D50+'Mutual Security'!D50+'National Affiliated'!D50+'Natl American'!D50+'New Jersey Life'!D50+'Old Colony Life'!D50+'Old Faithful'!D50+'Pacific Standard'!D50+'States General'!D50+Statesman!D50+'Summit National'!D50+Supreme!D50+Underwriters!D50+Unison!D50+'United Republic'!D50+Universe!D50</f>
        <v>19810000.43338285</v>
      </c>
      <c r="E50" s="3">
        <f>+'Alabama Life'!E50+'American Chambers'!E50+'American Educators'!E50+'American Integrity'!E50+'Amer Life Asr'!E50+'Amer Std Life Acc'!E50+AmerWstrn!E50+'AMS Life'!E50+'Bankers Commercial'!E50+'Coastal States'!E50+'Confed Life (CLIC)'!E50+'Consolidated National'!E50+'Consumers United'!E50+'Corporate Life'!E50+'Diamond Benefits'!E50+'EBL Life'!E50+'Fidelity Bankers'!E50+'First Natl'!E50+'George Washington'!E50+'Guarantee Security'!E50+'Inter-American'!E50+'Investment Life of America'!E50+'Kentucky Central'!E50+'London Pac'!E50+'Midwest Life'!E50+'Mutual Benefit'!E50+'Mutual Security'!E50+'National Affiliated'!E50+'Natl American'!E50+'New Jersey Life'!E50+'Old Colony Life'!E50+'Old Faithful'!E50+'Pacific Standard'!E50+'States General'!E50+Statesman!E50+'Summit National'!E50+Supreme!E50+Underwriters!E50+Unison!E50+'United Republic'!E50+Universe!E50</f>
        <v>2835278.230293856</v>
      </c>
      <c r="F50" s="3">
        <f t="shared" si="1"/>
        <v>59827693.223344252</v>
      </c>
      <c r="H50" t="s">
        <v>182</v>
      </c>
      <c r="I50" s="3">
        <f>+F65</f>
        <v>927786167.74152243</v>
      </c>
    </row>
    <row r="51" spans="1:9">
      <c r="A51" t="s">
        <v>45</v>
      </c>
      <c r="B51" s="3">
        <f>+'Alabama Life'!B51+'American Chambers'!B51+'American Educators'!B51+'American Integrity'!B51+'Amer Life Asr'!B51+'Amer Std Life Acc'!B51+AmerWstrn!B51+'AMS Life'!B51+'Bankers Commercial'!B51+'Coastal States'!B51+'Confed Life (CLIC)'!B51+'Consolidated National'!B51+'Consumers United'!B51+'Corporate Life'!B51+'Diamond Benefits'!B51+'EBL Life'!B51+'Fidelity Bankers'!B51+'First Natl'!B51+'George Washington'!B51+'Guarantee Security'!B51+'Inter-American'!B51+'Investment Life of America'!B51+'Kentucky Central'!B51+'London Pac'!B51+'Midwest Life'!B51+'Mutual Benefit'!B51+'Mutual Security'!B51+'National Affiliated'!B51+'Natl American'!B51+'New Jersey Life'!B51+'Old Colony Life'!B51+'Old Faithful'!B51+'Pacific Standard'!B51+'States General'!B51+Statesman!B51+'Summit National'!B51+Supreme!B51+Underwriters!B51+Unison!B51+'United Republic'!B51+Universe!B51</f>
        <v>674954.1134610906</v>
      </c>
      <c r="C51" s="3">
        <f>+'Alabama Life'!C51+'American Chambers'!C51+'American Educators'!C51+'American Integrity'!C51+'Amer Life Asr'!C51+'Amer Std Life Acc'!C51+AmerWstrn!C51+'AMS Life'!C51+'Bankers Commercial'!C51+'Coastal States'!C51+'Confed Life (CLIC)'!C51+'Consolidated National'!C51+'Consumers United'!C51+'Corporate Life'!C51+'Diamond Benefits'!C51+'EBL Life'!C51+'Fidelity Bankers'!C51+'First Natl'!C51+'George Washington'!C51+'Guarantee Security'!C51+'Inter-American'!C51+'Investment Life of America'!C51+'Kentucky Central'!C51+'London Pac'!C51+'Midwest Life'!C51+'Mutual Benefit'!C51+'Mutual Security'!C51+'National Affiliated'!C51+'Natl American'!C51+'New Jersey Life'!C51+'Old Colony Life'!C51+'Old Faithful'!C51+'Pacific Standard'!C51+'States General'!C51+Statesman!C51+'Summit National'!C51+Supreme!C51+Underwriters!C51+Unison!C51+'United Republic'!C51+Universe!C51</f>
        <v>1355961.9765690961</v>
      </c>
      <c r="D51" s="3">
        <f>+'Alabama Life'!D51+'American Chambers'!D51+'American Educators'!D51+'American Integrity'!D51+'Amer Life Asr'!D51+'Amer Std Life Acc'!D51+AmerWstrn!D51+'AMS Life'!D51+'Bankers Commercial'!D51+'Coastal States'!D51+'Confed Life (CLIC)'!D51+'Consolidated National'!D51+'Consumers United'!D51+'Corporate Life'!D51+'Diamond Benefits'!D51+'EBL Life'!D51+'Fidelity Bankers'!D51+'First Natl'!D51+'George Washington'!D51+'Guarantee Security'!D51+'Inter-American'!D51+'Investment Life of America'!D51+'Kentucky Central'!D51+'London Pac'!D51+'Midwest Life'!D51+'Mutual Benefit'!D51+'Mutual Security'!D51+'National Affiliated'!D51+'Natl American'!D51+'New Jersey Life'!D51+'Old Colony Life'!D51+'Old Faithful'!D51+'Pacific Standard'!D51+'States General'!D51+Statesman!D51+'Summit National'!D51+Supreme!D51+Underwriters!D51+Unison!D51+'United Republic'!D51+Universe!D51</f>
        <v>142517.72685926766</v>
      </c>
      <c r="E51" s="3">
        <f>+'Alabama Life'!E51+'American Chambers'!E51+'American Educators'!E51+'American Integrity'!E51+'Amer Life Asr'!E51+'Amer Std Life Acc'!E51+AmerWstrn!E51+'AMS Life'!E51+'Bankers Commercial'!E51+'Coastal States'!E51+'Confed Life (CLIC)'!E51+'Consolidated National'!E51+'Consumers United'!E51+'Corporate Life'!E51+'Diamond Benefits'!E51+'EBL Life'!E51+'Fidelity Bankers'!E51+'First Natl'!E51+'George Washington'!E51+'Guarantee Security'!E51+'Inter-American'!E51+'Investment Life of America'!E51+'Kentucky Central'!E51+'London Pac'!E51+'Midwest Life'!E51+'Mutual Benefit'!E51+'Mutual Security'!E51+'National Affiliated'!E51+'Natl American'!E51+'New Jersey Life'!E51+'Old Colony Life'!E51+'Old Faithful'!E51+'Pacific Standard'!E51+'States General'!E51+Statesman!E51+'Summit National'!E51+Supreme!E51+Underwriters!E51+Unison!E51+'United Republic'!E51+Universe!E51</f>
        <v>3549.2866367349607</v>
      </c>
      <c r="F51" s="3">
        <f t="shared" si="1"/>
        <v>2176983.1035261895</v>
      </c>
      <c r="I51" s="3">
        <f>+I49-I50</f>
        <v>0</v>
      </c>
    </row>
    <row r="52" spans="1:9">
      <c r="A52" t="s">
        <v>46</v>
      </c>
      <c r="B52" s="3">
        <f>+'Alabama Life'!B52+'American Chambers'!B52+'American Educators'!B52+'American Integrity'!B52+'Amer Life Asr'!B52+'Amer Std Life Acc'!B52+AmerWstrn!B52+'AMS Life'!B52+'Bankers Commercial'!B52+'Coastal States'!B52+'Confed Life (CLIC)'!B52+'Consolidated National'!B52+'Consumers United'!B52+'Corporate Life'!B52+'Diamond Benefits'!B52+'EBL Life'!B52+'Fidelity Bankers'!B52+'First Natl'!B52+'George Washington'!B52+'Guarantee Security'!B52+'Inter-American'!B52+'Investment Life of America'!B52+'Kentucky Central'!B52+'London Pac'!B52+'Midwest Life'!B52+'Mutual Benefit'!B52+'Mutual Security'!B52+'National Affiliated'!B52+'Natl American'!B52+'New Jersey Life'!B52+'Old Colony Life'!B52+'Old Faithful'!B52+'Pacific Standard'!B52+'States General'!B52+Statesman!B52+'Summit National'!B52+Supreme!B52+Underwriters!B52+Unison!B52+'United Republic'!B52+Universe!B52</f>
        <v>166432.558992487</v>
      </c>
      <c r="C52" s="3">
        <f>+'Alabama Life'!C52+'American Chambers'!C52+'American Educators'!C52+'American Integrity'!C52+'Amer Life Asr'!C52+'Amer Std Life Acc'!C52+AmerWstrn!C52+'AMS Life'!C52+'Bankers Commercial'!C52+'Coastal States'!C52+'Confed Life (CLIC)'!C52+'Consolidated National'!C52+'Consumers United'!C52+'Corporate Life'!C52+'Diamond Benefits'!C52+'EBL Life'!C52+'Fidelity Bankers'!C52+'First Natl'!C52+'George Washington'!C52+'Guarantee Security'!C52+'Inter-American'!C52+'Investment Life of America'!C52+'Kentucky Central'!C52+'London Pac'!C52+'Midwest Life'!C52+'Mutual Benefit'!C52+'Mutual Security'!C52+'National Affiliated'!C52+'Natl American'!C52+'New Jersey Life'!C52+'Old Colony Life'!C52+'Old Faithful'!C52+'Pacific Standard'!C52+'States General'!C52+Statesman!C52+'Summit National'!C52+Supreme!C52+Underwriters!C52+Unison!C52+'United Republic'!C52+Universe!C52</f>
        <v>178626.75452368619</v>
      </c>
      <c r="D52" s="3">
        <f>+'Alabama Life'!D52+'American Chambers'!D52+'American Educators'!D52+'American Integrity'!D52+'Amer Life Asr'!D52+'Amer Std Life Acc'!D52+AmerWstrn!D52+'AMS Life'!D52+'Bankers Commercial'!D52+'Coastal States'!D52+'Confed Life (CLIC)'!D52+'Consolidated National'!D52+'Consumers United'!D52+'Corporate Life'!D52+'Diamond Benefits'!D52+'EBL Life'!D52+'Fidelity Bankers'!D52+'First Natl'!D52+'George Washington'!D52+'Guarantee Security'!D52+'Inter-American'!D52+'Investment Life of America'!D52+'Kentucky Central'!D52+'London Pac'!D52+'Midwest Life'!D52+'Mutual Benefit'!D52+'Mutual Security'!D52+'National Affiliated'!D52+'Natl American'!D52+'New Jersey Life'!D52+'Old Colony Life'!D52+'Old Faithful'!D52+'Pacific Standard'!D52+'States General'!D52+Statesman!D52+'Summit National'!D52+Supreme!D52+Underwriters!D52+Unison!D52+'United Republic'!D52+Universe!D52</f>
        <v>9368.7280901964041</v>
      </c>
      <c r="E52" s="3">
        <f>+'Alabama Life'!E52+'American Chambers'!E52+'American Educators'!E52+'American Integrity'!E52+'Amer Life Asr'!E52+'Amer Std Life Acc'!E52+AmerWstrn!E52+'AMS Life'!E52+'Bankers Commercial'!E52+'Coastal States'!E52+'Confed Life (CLIC)'!E52+'Consolidated National'!E52+'Consumers United'!E52+'Corporate Life'!E52+'Diamond Benefits'!E52+'EBL Life'!E52+'Fidelity Bankers'!E52+'First Natl'!E52+'George Washington'!E52+'Guarantee Security'!E52+'Inter-American'!E52+'Investment Life of America'!E52+'Kentucky Central'!E52+'London Pac'!E52+'Midwest Life'!E52+'Mutual Benefit'!E52+'Mutual Security'!E52+'National Affiliated'!E52+'Natl American'!E52+'New Jersey Life'!E52+'Old Colony Life'!E52+'Old Faithful'!E52+'Pacific Standard'!E52+'States General'!E52+Statesman!E52+'Summit National'!E52+Supreme!E52+Underwriters!E52+Unison!E52+'United Republic'!E52+Universe!E52</f>
        <v>-3802.04741033553</v>
      </c>
      <c r="F52" s="3">
        <f t="shared" si="1"/>
        <v>350625.99419603404</v>
      </c>
    </row>
    <row r="53" spans="1:9">
      <c r="A53" t="s">
        <v>47</v>
      </c>
      <c r="B53" s="3">
        <f>+'Alabama Life'!B53+'American Chambers'!B53+'American Educators'!B53+'American Integrity'!B53+'Amer Life Asr'!B53+'Amer Std Life Acc'!B53+AmerWstrn!B53+'AMS Life'!B53+'Bankers Commercial'!B53+'Coastal States'!B53+'Confed Life (CLIC)'!B53+'Consolidated National'!B53+'Consumers United'!B53+'Corporate Life'!B53+'Diamond Benefits'!B53+'EBL Life'!B53+'Fidelity Bankers'!B53+'First Natl'!B53+'George Washington'!B53+'Guarantee Security'!B53+'Inter-American'!B53+'Investment Life of America'!B53+'Kentucky Central'!B53+'London Pac'!B53+'Midwest Life'!B53+'Mutual Benefit'!B53+'Mutual Security'!B53+'National Affiliated'!B53+'Natl American'!B53+'New Jersey Life'!B53+'Old Colony Life'!B53+'Old Faithful'!B53+'Pacific Standard'!B53+'States General'!B53+Statesman!B53+'Summit National'!B53+Supreme!B53+Underwriters!B53+Unison!B53+'United Republic'!B53+Universe!B53</f>
        <v>2958810.6136788204</v>
      </c>
      <c r="C53" s="3">
        <f>+'Alabama Life'!C53+'American Chambers'!C53+'American Educators'!C53+'American Integrity'!C53+'Amer Life Asr'!C53+'Amer Std Life Acc'!C53+AmerWstrn!C53+'AMS Life'!C53+'Bankers Commercial'!C53+'Coastal States'!C53+'Confed Life (CLIC)'!C53+'Consolidated National'!C53+'Consumers United'!C53+'Corporate Life'!C53+'Diamond Benefits'!C53+'EBL Life'!C53+'Fidelity Bankers'!C53+'First Natl'!C53+'George Washington'!C53+'Guarantee Security'!C53+'Inter-American'!C53+'Investment Life of America'!C53+'Kentucky Central'!C53+'London Pac'!C53+'Midwest Life'!C53+'Mutual Benefit'!C53+'Mutual Security'!C53+'National Affiliated'!C53+'Natl American'!C53+'New Jersey Life'!C53+'Old Colony Life'!C53+'Old Faithful'!C53+'Pacific Standard'!C53+'States General'!C53+Statesman!C53+'Summit National'!C53+Supreme!C53+Underwriters!C53+Unison!C53+'United Republic'!C53+Universe!C53</f>
        <v>10248036.452901011</v>
      </c>
      <c r="D53" s="3">
        <f>+'Alabama Life'!D53+'American Chambers'!D53+'American Educators'!D53+'American Integrity'!D53+'Amer Life Asr'!D53+'Amer Std Life Acc'!D53+AmerWstrn!D53+'AMS Life'!D53+'Bankers Commercial'!D53+'Coastal States'!D53+'Confed Life (CLIC)'!D53+'Consolidated National'!D53+'Consumers United'!D53+'Corporate Life'!D53+'Diamond Benefits'!D53+'EBL Life'!D53+'Fidelity Bankers'!D53+'First Natl'!D53+'George Washington'!D53+'Guarantee Security'!D53+'Inter-American'!D53+'Investment Life of America'!D53+'Kentucky Central'!D53+'London Pac'!D53+'Midwest Life'!D53+'Mutual Benefit'!D53+'Mutual Security'!D53+'National Affiliated'!D53+'Natl American'!D53+'New Jersey Life'!D53+'Old Colony Life'!D53+'Old Faithful'!D53+'Pacific Standard'!D53+'States General'!D53+Statesman!D53+'Summit National'!D53+Supreme!D53+Underwriters!D53+Unison!D53+'United Republic'!D53+Universe!D53</f>
        <v>670956.71201926528</v>
      </c>
      <c r="E53" s="3">
        <f>+'Alabama Life'!E53+'American Chambers'!E53+'American Educators'!E53+'American Integrity'!E53+'Amer Life Asr'!E53+'Amer Std Life Acc'!E53+AmerWstrn!E53+'AMS Life'!E53+'Bankers Commercial'!E53+'Coastal States'!E53+'Confed Life (CLIC)'!E53+'Consolidated National'!E53+'Consumers United'!E53+'Corporate Life'!E53+'Diamond Benefits'!E53+'EBL Life'!E53+'Fidelity Bankers'!E53+'First Natl'!E53+'George Washington'!E53+'Guarantee Security'!E53+'Inter-American'!E53+'Investment Life of America'!E53+'Kentucky Central'!E53+'London Pac'!E53+'Midwest Life'!E53+'Mutual Benefit'!E53+'Mutual Security'!E53+'National Affiliated'!E53+'Natl American'!E53+'New Jersey Life'!E53+'Old Colony Life'!E53+'Old Faithful'!E53+'Pacific Standard'!E53+'States General'!E53+Statesman!E53+'Summit National'!E53+Supreme!E53+Underwriters!E53+Unison!E53+'United Republic'!E53+Universe!E53</f>
        <v>0</v>
      </c>
      <c r="F53" s="3">
        <f t="shared" si="1"/>
        <v>13877803.778599096</v>
      </c>
    </row>
    <row r="54" spans="1:9">
      <c r="A54" t="s">
        <v>48</v>
      </c>
      <c r="B54" s="3">
        <f>+'Alabama Life'!B54+'American Chambers'!B54+'American Educators'!B54+'American Integrity'!B54+'Amer Life Asr'!B54+'Amer Std Life Acc'!B54+AmerWstrn!B54+'AMS Life'!B54+'Bankers Commercial'!B54+'Coastal States'!B54+'Confed Life (CLIC)'!B54+'Consolidated National'!B54+'Consumers United'!B54+'Corporate Life'!B54+'Diamond Benefits'!B54+'EBL Life'!B54+'Fidelity Bankers'!B54+'First Natl'!B54+'George Washington'!B54+'Guarantee Security'!B54+'Inter-American'!B54+'Investment Life of America'!B54+'Kentucky Central'!B54+'London Pac'!B54+'Midwest Life'!B54+'Mutual Benefit'!B54+'Mutual Security'!B54+'National Affiliated'!B54+'Natl American'!B54+'New Jersey Life'!B54+'Old Colony Life'!B54+'Old Faithful'!B54+'Pacific Standard'!B54+'States General'!B54+Statesman!B54+'Summit National'!B54+Supreme!B54+Underwriters!B54+Unison!B54+'United Republic'!B54+Universe!B54</f>
        <v>4716885.8851699624</v>
      </c>
      <c r="C54" s="3">
        <f>+'Alabama Life'!C54+'American Chambers'!C54+'American Educators'!C54+'American Integrity'!C54+'Amer Life Asr'!C54+'Amer Std Life Acc'!C54+AmerWstrn!C54+'AMS Life'!C54+'Bankers Commercial'!C54+'Coastal States'!C54+'Confed Life (CLIC)'!C54+'Consolidated National'!C54+'Consumers United'!C54+'Corporate Life'!C54+'Diamond Benefits'!C54+'EBL Life'!C54+'Fidelity Bankers'!C54+'First Natl'!C54+'George Washington'!C54+'Guarantee Security'!C54+'Inter-American'!C54+'Investment Life of America'!C54+'Kentucky Central'!C54+'London Pac'!C54+'Midwest Life'!C54+'Mutual Benefit'!C54+'Mutual Security'!C54+'National Affiliated'!C54+'Natl American'!C54+'New Jersey Life'!C54+'Old Colony Life'!C54+'Old Faithful'!C54+'Pacific Standard'!C54+'States General'!C54+Statesman!C54+'Summit National'!C54+Supreme!C54+Underwriters!C54+Unison!C54+'United Republic'!C54+Universe!C54</f>
        <v>14393940.28312555</v>
      </c>
      <c r="D54" s="3">
        <f>+'Alabama Life'!D54+'American Chambers'!D54+'American Educators'!D54+'American Integrity'!D54+'Amer Life Asr'!D54+'Amer Std Life Acc'!D54+AmerWstrn!D54+'AMS Life'!D54+'Bankers Commercial'!D54+'Coastal States'!D54+'Confed Life (CLIC)'!D54+'Consolidated National'!D54+'Consumers United'!D54+'Corporate Life'!D54+'Diamond Benefits'!D54+'EBL Life'!D54+'Fidelity Bankers'!D54+'First Natl'!D54+'George Washington'!D54+'Guarantee Security'!D54+'Inter-American'!D54+'Investment Life of America'!D54+'Kentucky Central'!D54+'London Pac'!D54+'Midwest Life'!D54+'Mutual Benefit'!D54+'Mutual Security'!D54+'National Affiliated'!D54+'Natl American'!D54+'New Jersey Life'!D54+'Old Colony Life'!D54+'Old Faithful'!D54+'Pacific Standard'!D54+'States General'!D54+Statesman!D54+'Summit National'!D54+Supreme!D54+Underwriters!D54+Unison!D54+'United Republic'!D54+Universe!D54</f>
        <v>11331756.760169981</v>
      </c>
      <c r="E54" s="3">
        <f>+'Alabama Life'!E54+'American Chambers'!E54+'American Educators'!E54+'American Integrity'!E54+'Amer Life Asr'!E54+'Amer Std Life Acc'!E54+AmerWstrn!E54+'AMS Life'!E54+'Bankers Commercial'!E54+'Coastal States'!E54+'Confed Life (CLIC)'!E54+'Consolidated National'!E54+'Consumers United'!E54+'Corporate Life'!E54+'Diamond Benefits'!E54+'EBL Life'!E54+'Fidelity Bankers'!E54+'First Natl'!E54+'George Washington'!E54+'Guarantee Security'!E54+'Inter-American'!E54+'Investment Life of America'!E54+'Kentucky Central'!E54+'London Pac'!E54+'Midwest Life'!E54+'Mutual Benefit'!E54+'Mutual Security'!E54+'National Affiliated'!E54+'Natl American'!E54+'New Jersey Life'!E54+'Old Colony Life'!E54+'Old Faithful'!E54+'Pacific Standard'!E54+'States General'!E54+Statesman!E54+'Summit National'!E54+Supreme!E54+Underwriters!E54+Unison!E54+'United Republic'!E54+Universe!E54</f>
        <v>406.42922209100652</v>
      </c>
      <c r="F54" s="3">
        <f t="shared" si="1"/>
        <v>30442989.357687585</v>
      </c>
    </row>
    <row r="55" spans="1:9">
      <c r="A55" t="s">
        <v>49</v>
      </c>
      <c r="B55" s="3">
        <f>+'Alabama Life'!B55+'American Chambers'!B55+'American Educators'!B55+'American Integrity'!B55+'Amer Life Asr'!B55+'Amer Std Life Acc'!B55+AmerWstrn!B55+'AMS Life'!B55+'Bankers Commercial'!B55+'Coastal States'!B55+'Confed Life (CLIC)'!B55+'Consolidated National'!B55+'Consumers United'!B55+'Corporate Life'!B55+'Diamond Benefits'!B55+'EBL Life'!B55+'Fidelity Bankers'!B55+'First Natl'!B55+'George Washington'!B55+'Guarantee Security'!B55+'Inter-American'!B55+'Investment Life of America'!B55+'Kentucky Central'!B55+'London Pac'!B55+'Midwest Life'!B55+'Mutual Benefit'!B55+'Mutual Security'!B55+'National Affiliated'!B55+'Natl American'!B55+'New Jersey Life'!B55+'Old Colony Life'!B55+'Old Faithful'!B55+'Pacific Standard'!B55+'States General'!B55+Statesman!B55+'Summit National'!B55+Supreme!B55+Underwriters!B55+Unison!B55+'United Republic'!B55+Universe!B55</f>
        <v>1007560.8339071795</v>
      </c>
      <c r="C55" s="3">
        <f>+'Alabama Life'!C55+'American Chambers'!C55+'American Educators'!C55+'American Integrity'!C55+'Amer Life Asr'!C55+'Amer Std Life Acc'!C55+AmerWstrn!C55+'AMS Life'!C55+'Bankers Commercial'!C55+'Coastal States'!C55+'Confed Life (CLIC)'!C55+'Consolidated National'!C55+'Consumers United'!C55+'Corporate Life'!C55+'Diamond Benefits'!C55+'EBL Life'!C55+'Fidelity Bankers'!C55+'First Natl'!C55+'George Washington'!C55+'Guarantee Security'!C55+'Inter-American'!C55+'Investment Life of America'!C55+'Kentucky Central'!C55+'London Pac'!C55+'Midwest Life'!C55+'Mutual Benefit'!C55+'Mutual Security'!C55+'National Affiliated'!C55+'Natl American'!C55+'New Jersey Life'!C55+'Old Colony Life'!C55+'Old Faithful'!C55+'Pacific Standard'!C55+'States General'!C55+Statesman!C55+'Summit National'!C55+Supreme!C55+Underwriters!C55+Unison!C55+'United Republic'!C55+Universe!C55</f>
        <v>1869812.6233073166</v>
      </c>
      <c r="D55" s="3">
        <f>+'Alabama Life'!D55+'American Chambers'!D55+'American Educators'!D55+'American Integrity'!D55+'Amer Life Asr'!D55+'Amer Std Life Acc'!D55+AmerWstrn!D55+'AMS Life'!D55+'Bankers Commercial'!D55+'Coastal States'!D55+'Confed Life (CLIC)'!D55+'Consolidated National'!D55+'Consumers United'!D55+'Corporate Life'!D55+'Diamond Benefits'!D55+'EBL Life'!D55+'Fidelity Bankers'!D55+'First Natl'!D55+'George Washington'!D55+'Guarantee Security'!D55+'Inter-American'!D55+'Investment Life of America'!D55+'Kentucky Central'!D55+'London Pac'!D55+'Midwest Life'!D55+'Mutual Benefit'!D55+'Mutual Security'!D55+'National Affiliated'!D55+'Natl American'!D55+'New Jersey Life'!D55+'Old Colony Life'!D55+'Old Faithful'!D55+'Pacific Standard'!D55+'States General'!D55+Statesman!D55+'Summit National'!D55+Supreme!D55+Underwriters!D55+Unison!D55+'United Republic'!D55+Universe!D55</f>
        <v>495757.33907099452</v>
      </c>
      <c r="E55" s="3">
        <f>+'Alabama Life'!E55+'American Chambers'!E55+'American Educators'!E55+'American Integrity'!E55+'Amer Life Asr'!E55+'Amer Std Life Acc'!E55+AmerWstrn!E55+'AMS Life'!E55+'Bankers Commercial'!E55+'Coastal States'!E55+'Confed Life (CLIC)'!E55+'Consolidated National'!E55+'Consumers United'!E55+'Corporate Life'!E55+'Diamond Benefits'!E55+'EBL Life'!E55+'Fidelity Bankers'!E55+'First Natl'!E55+'George Washington'!E55+'Guarantee Security'!E55+'Inter-American'!E55+'Investment Life of America'!E55+'Kentucky Central'!E55+'London Pac'!E55+'Midwest Life'!E55+'Mutual Benefit'!E55+'Mutual Security'!E55+'National Affiliated'!E55+'Natl American'!E55+'New Jersey Life'!E55+'Old Colony Life'!E55+'Old Faithful'!E55+'Pacific Standard'!E55+'States General'!E55+Statesman!E55+'Summit National'!E55+Supreme!E55+Underwriters!E55+Unison!E55+'United Republic'!E55+Universe!E55</f>
        <v>0</v>
      </c>
      <c r="F55" s="3">
        <f t="shared" si="1"/>
        <v>3373130.7962854905</v>
      </c>
    </row>
    <row r="56" spans="1:9">
      <c r="A56" t="s">
        <v>50</v>
      </c>
      <c r="B56" s="3">
        <f>+'Alabama Life'!B56+'American Chambers'!B56+'American Educators'!B56+'American Integrity'!B56+'Amer Life Asr'!B56+'Amer Std Life Acc'!B56+AmerWstrn!B56+'AMS Life'!B56+'Bankers Commercial'!B56+'Coastal States'!B56+'Confed Life (CLIC)'!B56+'Consolidated National'!B56+'Consumers United'!B56+'Corporate Life'!B56+'Diamond Benefits'!B56+'EBL Life'!B56+'Fidelity Bankers'!B56+'First Natl'!B56+'George Washington'!B56+'Guarantee Security'!B56+'Inter-American'!B56+'Investment Life of America'!B56+'Kentucky Central'!B56+'London Pac'!B56+'Midwest Life'!B56+'Mutual Benefit'!B56+'Mutual Security'!B56+'National Affiliated'!B56+'Natl American'!B56+'New Jersey Life'!B56+'Old Colony Life'!B56+'Old Faithful'!B56+'Pacific Standard'!B56+'States General'!B56+Statesman!B56+'Summit National'!B56+Supreme!B56+Underwriters!B56+Unison!B56+'United Republic'!B56+Universe!B56</f>
        <v>15066472.992980806</v>
      </c>
      <c r="C56" s="3">
        <f>+'Alabama Life'!C56+'American Chambers'!C56+'American Educators'!C56+'American Integrity'!C56+'Amer Life Asr'!C56+'Amer Std Life Acc'!C56+AmerWstrn!C56+'AMS Life'!C56+'Bankers Commercial'!C56+'Coastal States'!C56+'Confed Life (CLIC)'!C56+'Consolidated National'!C56+'Consumers United'!C56+'Corporate Life'!C56+'Diamond Benefits'!C56+'EBL Life'!C56+'Fidelity Bankers'!C56+'First Natl'!C56+'George Washington'!C56+'Guarantee Security'!C56+'Inter-American'!C56+'Investment Life of America'!C56+'Kentucky Central'!C56+'London Pac'!C56+'Midwest Life'!C56+'Mutual Benefit'!C56+'Mutual Security'!C56+'National Affiliated'!C56+'Natl American'!C56+'New Jersey Life'!C56+'Old Colony Life'!C56+'Old Faithful'!C56+'Pacific Standard'!C56+'States General'!C56+Statesman!C56+'Summit National'!C56+Supreme!C56+Underwriters!C56+Unison!C56+'United Republic'!C56+Universe!C56</f>
        <v>6260668.0680047385</v>
      </c>
      <c r="D56" s="3">
        <f>+'Alabama Life'!D56+'American Chambers'!D56+'American Educators'!D56+'American Integrity'!D56+'Amer Life Asr'!D56+'Amer Std Life Acc'!D56+AmerWstrn!D56+'AMS Life'!D56+'Bankers Commercial'!D56+'Coastal States'!D56+'Confed Life (CLIC)'!D56+'Consolidated National'!D56+'Consumers United'!D56+'Corporate Life'!D56+'Diamond Benefits'!D56+'EBL Life'!D56+'Fidelity Bankers'!D56+'First Natl'!D56+'George Washington'!D56+'Guarantee Security'!D56+'Inter-American'!D56+'Investment Life of America'!D56+'Kentucky Central'!D56+'London Pac'!D56+'Midwest Life'!D56+'Mutual Benefit'!D56+'Mutual Security'!D56+'National Affiliated'!D56+'Natl American'!D56+'New Jersey Life'!D56+'Old Colony Life'!D56+'Old Faithful'!D56+'Pacific Standard'!D56+'States General'!D56+Statesman!D56+'Summit National'!D56+Supreme!D56+Underwriters!D56+Unison!D56+'United Republic'!D56+Universe!D56</f>
        <v>139628.2337380494</v>
      </c>
      <c r="E56" s="3">
        <f>+'Alabama Life'!E56+'American Chambers'!E56+'American Educators'!E56+'American Integrity'!E56+'Amer Life Asr'!E56+'Amer Std Life Acc'!E56+AmerWstrn!E56+'AMS Life'!E56+'Bankers Commercial'!E56+'Coastal States'!E56+'Confed Life (CLIC)'!E56+'Consolidated National'!E56+'Consumers United'!E56+'Corporate Life'!E56+'Diamond Benefits'!E56+'EBL Life'!E56+'Fidelity Bankers'!E56+'First Natl'!E56+'George Washington'!E56+'Guarantee Security'!E56+'Inter-American'!E56+'Investment Life of America'!E56+'Kentucky Central'!E56+'London Pac'!E56+'Midwest Life'!E56+'Mutual Benefit'!E56+'Mutual Security'!E56+'National Affiliated'!E56+'Natl American'!E56+'New Jersey Life'!E56+'Old Colony Life'!E56+'Old Faithful'!E56+'Pacific Standard'!E56+'States General'!E56+Statesman!E56+'Summit National'!E56+Supreme!E56+Underwriters!E56+Unison!E56+'United Republic'!E56+Universe!E56</f>
        <v>0</v>
      </c>
      <c r="F56" s="3">
        <f t="shared" si="1"/>
        <v>21466769.294723593</v>
      </c>
    </row>
    <row r="57" spans="1:9">
      <c r="A57" t="s">
        <v>51</v>
      </c>
      <c r="B57" s="3">
        <f>+'Alabama Life'!B57+'American Chambers'!B57+'American Educators'!B57+'American Integrity'!B57+'Amer Life Asr'!B57+'Amer Std Life Acc'!B57+AmerWstrn!B57+'AMS Life'!B57+'Bankers Commercial'!B57+'Coastal States'!B57+'Confed Life (CLIC)'!B57+'Consolidated National'!B57+'Consumers United'!B57+'Corporate Life'!B57+'Diamond Benefits'!B57+'EBL Life'!B57+'Fidelity Bankers'!B57+'First Natl'!B57+'George Washington'!B57+'Guarantee Security'!B57+'Inter-American'!B57+'Investment Life of America'!B57+'Kentucky Central'!B57+'London Pac'!B57+'Midwest Life'!B57+'Mutual Benefit'!B57+'Mutual Security'!B57+'National Affiliated'!B57+'Natl American'!B57+'New Jersey Life'!B57+'Old Colony Life'!B57+'Old Faithful'!B57+'Pacific Standard'!B57+'States General'!B57+Statesman!B57+'Summit National'!B57+Supreme!B57+Underwriters!B57+Unison!B57+'United Republic'!B57+Universe!B57</f>
        <v>953485.13558160258</v>
      </c>
      <c r="C57" s="3">
        <f>+'Alabama Life'!C57+'American Chambers'!C57+'American Educators'!C57+'American Integrity'!C57+'Amer Life Asr'!C57+'Amer Std Life Acc'!C57+AmerWstrn!C57+'AMS Life'!C57+'Bankers Commercial'!C57+'Coastal States'!C57+'Confed Life (CLIC)'!C57+'Consolidated National'!C57+'Consumers United'!C57+'Corporate Life'!C57+'Diamond Benefits'!C57+'EBL Life'!C57+'Fidelity Bankers'!C57+'First Natl'!C57+'George Washington'!C57+'Guarantee Security'!C57+'Inter-American'!C57+'Investment Life of America'!C57+'Kentucky Central'!C57+'London Pac'!C57+'Midwest Life'!C57+'Mutual Benefit'!C57+'Mutual Security'!C57+'National Affiliated'!C57+'Natl American'!C57+'New Jersey Life'!C57+'Old Colony Life'!C57+'Old Faithful'!C57+'Pacific Standard'!C57+'States General'!C57+Statesman!C57+'Summit National'!C57+Supreme!C57+Underwriters!C57+Unison!C57+'United Republic'!C57+Universe!C57</f>
        <v>2419716.7486954927</v>
      </c>
      <c r="D57" s="3">
        <f>+'Alabama Life'!D57+'American Chambers'!D57+'American Educators'!D57+'American Integrity'!D57+'Amer Life Asr'!D57+'Amer Std Life Acc'!D57+AmerWstrn!D57+'AMS Life'!D57+'Bankers Commercial'!D57+'Coastal States'!D57+'Confed Life (CLIC)'!D57+'Consolidated National'!D57+'Consumers United'!D57+'Corporate Life'!D57+'Diamond Benefits'!D57+'EBL Life'!D57+'Fidelity Bankers'!D57+'First Natl'!D57+'George Washington'!D57+'Guarantee Security'!D57+'Inter-American'!D57+'Investment Life of America'!D57+'Kentucky Central'!D57+'London Pac'!D57+'Midwest Life'!D57+'Mutual Benefit'!D57+'Mutual Security'!D57+'National Affiliated'!D57+'Natl American'!D57+'New Jersey Life'!D57+'Old Colony Life'!D57+'Old Faithful'!D57+'Pacific Standard'!D57+'States General'!D57+Statesman!D57+'Summit National'!D57+Supreme!D57+Underwriters!D57+Unison!D57+'United Republic'!D57+Universe!D57</f>
        <v>403165.91684848518</v>
      </c>
      <c r="E57" s="3">
        <f>+'Alabama Life'!E57+'American Chambers'!E57+'American Educators'!E57+'American Integrity'!E57+'Amer Life Asr'!E57+'Amer Std Life Acc'!E57+AmerWstrn!E57+'AMS Life'!E57+'Bankers Commercial'!E57+'Coastal States'!E57+'Confed Life (CLIC)'!E57+'Consolidated National'!E57+'Consumers United'!E57+'Corporate Life'!E57+'Diamond Benefits'!E57+'EBL Life'!E57+'Fidelity Bankers'!E57+'First Natl'!E57+'George Washington'!E57+'Guarantee Security'!E57+'Inter-American'!E57+'Investment Life of America'!E57+'Kentucky Central'!E57+'London Pac'!E57+'Midwest Life'!E57+'Mutual Benefit'!E57+'Mutual Security'!E57+'National Affiliated'!E57+'Natl American'!E57+'New Jersey Life'!E57+'Old Colony Life'!E57+'Old Faithful'!E57+'Pacific Standard'!E57+'States General'!E57+Statesman!E57+'Summit National'!E57+Supreme!E57+Underwriters!E57+Unison!E57+'United Republic'!E57+Universe!E57</f>
        <v>0</v>
      </c>
      <c r="F57" s="3">
        <f t="shared" si="1"/>
        <v>3776367.8011255804</v>
      </c>
    </row>
    <row r="58" spans="1:9">
      <c r="A58" t="s">
        <v>52</v>
      </c>
      <c r="B58" s="3">
        <f>+'Alabama Life'!B58+'American Chambers'!B58+'American Educators'!B58+'American Integrity'!B58+'Amer Life Asr'!B58+'Amer Std Life Acc'!B58+AmerWstrn!B58+'AMS Life'!B58+'Bankers Commercial'!B58+'Coastal States'!B58+'Confed Life (CLIC)'!B58+'Consolidated National'!B58+'Consumers United'!B58+'Corporate Life'!B58+'Diamond Benefits'!B58+'EBL Life'!B58+'Fidelity Bankers'!B58+'First Natl'!B58+'George Washington'!B58+'Guarantee Security'!B58+'Inter-American'!B58+'Investment Life of America'!B58+'Kentucky Central'!B58+'London Pac'!B58+'Midwest Life'!B58+'Mutual Benefit'!B58+'Mutual Security'!B58+'National Affiliated'!B58+'Natl American'!B58+'New Jersey Life'!B58+'Old Colony Life'!B58+'Old Faithful'!B58+'Pacific Standard'!B58+'States General'!B58+Statesman!B58+'Summit National'!B58+Supreme!B58+Underwriters!B58+Unison!B58+'United Republic'!B58+Universe!B58</f>
        <v>0</v>
      </c>
      <c r="C58" s="3">
        <f>+'Alabama Life'!C58+'American Chambers'!C58+'American Educators'!C58+'American Integrity'!C58+'Amer Life Asr'!C58+'Amer Std Life Acc'!C58+AmerWstrn!C58+'AMS Life'!C58+'Bankers Commercial'!C58+'Coastal States'!C58+'Confed Life (CLIC)'!C58+'Consolidated National'!C58+'Consumers United'!C58+'Corporate Life'!C58+'Diamond Benefits'!C58+'EBL Life'!C58+'Fidelity Bankers'!C58+'First Natl'!C58+'George Washington'!C58+'Guarantee Security'!C58+'Inter-American'!C58+'Investment Life of America'!C58+'Kentucky Central'!C58+'London Pac'!C58+'Midwest Life'!C58+'Mutual Benefit'!C58+'Mutual Security'!C58+'National Affiliated'!C58+'Natl American'!C58+'New Jersey Life'!C58+'Old Colony Life'!C58+'Old Faithful'!C58+'Pacific Standard'!C58+'States General'!C58+Statesman!C58+'Summit National'!C58+Supreme!C58+Underwriters!C58+Unison!C58+'United Republic'!C58+Universe!C58</f>
        <v>0</v>
      </c>
      <c r="D58" s="3">
        <f>+'Alabama Life'!D58+'American Chambers'!D58+'American Educators'!D58+'American Integrity'!D58+'Amer Life Asr'!D58+'Amer Std Life Acc'!D58+AmerWstrn!D58+'AMS Life'!D58+'Bankers Commercial'!D58+'Coastal States'!D58+'Confed Life (CLIC)'!D58+'Consolidated National'!D58+'Consumers United'!D58+'Corporate Life'!D58+'Diamond Benefits'!D58+'EBL Life'!D58+'Fidelity Bankers'!D58+'First Natl'!D58+'George Washington'!D58+'Guarantee Security'!D58+'Inter-American'!D58+'Investment Life of America'!D58+'Kentucky Central'!D58+'London Pac'!D58+'Midwest Life'!D58+'Mutual Benefit'!D58+'Mutual Security'!D58+'National Affiliated'!D58+'Natl American'!D58+'New Jersey Life'!D58+'Old Colony Life'!D58+'Old Faithful'!D58+'Pacific Standard'!D58+'States General'!D58+Statesman!D58+'Summit National'!D58+Supreme!D58+Underwriters!D58+Unison!D58+'United Republic'!D58+Universe!D58</f>
        <v>204.73710917481424</v>
      </c>
      <c r="E58" s="3">
        <f>+'Alabama Life'!E58+'American Chambers'!E58+'American Educators'!E58+'American Integrity'!E58+'Amer Life Asr'!E58+'Amer Std Life Acc'!E58+AmerWstrn!E58+'AMS Life'!E58+'Bankers Commercial'!E58+'Coastal States'!E58+'Confed Life (CLIC)'!E58+'Consolidated National'!E58+'Consumers United'!E58+'Corporate Life'!E58+'Diamond Benefits'!E58+'EBL Life'!E58+'Fidelity Bankers'!E58+'First Natl'!E58+'George Washington'!E58+'Guarantee Security'!E58+'Inter-American'!E58+'Investment Life of America'!E58+'Kentucky Central'!E58+'London Pac'!E58+'Midwest Life'!E58+'Mutual Benefit'!E58+'Mutual Security'!E58+'National Affiliated'!E58+'Natl American'!E58+'New Jersey Life'!E58+'Old Colony Life'!E58+'Old Faithful'!E58+'Pacific Standard'!E58+'States General'!E58+Statesman!E58+'Summit National'!E58+Supreme!E58+Underwriters!E58+Unison!E58+'United Republic'!E58+Universe!E58</f>
        <v>0</v>
      </c>
      <c r="F58" s="3">
        <f t="shared" si="1"/>
        <v>204.73710917481424</v>
      </c>
    </row>
    <row r="59" spans="1:9">
      <c r="B59" s="3"/>
      <c r="C59" s="3"/>
      <c r="D59" s="3"/>
      <c r="E59" s="3"/>
      <c r="F59" s="3"/>
    </row>
    <row r="60" spans="1:9">
      <c r="A60" t="s">
        <v>59</v>
      </c>
      <c r="B60" s="3">
        <f t="shared" ref="B60:F60" si="2">SUM(B6:B58)</f>
        <v>229935761.07549226</v>
      </c>
      <c r="C60" s="3">
        <f t="shared" si="2"/>
        <v>568099072.874964</v>
      </c>
      <c r="D60" s="3">
        <f t="shared" si="2"/>
        <v>107108974.2682294</v>
      </c>
      <c r="E60" s="3">
        <f t="shared" si="2"/>
        <v>22642359.52283673</v>
      </c>
      <c r="F60" s="3">
        <f t="shared" si="2"/>
        <v>927786167.74152243</v>
      </c>
    </row>
    <row r="62" spans="1:9">
      <c r="A62" s="139" t="s">
        <v>167</v>
      </c>
      <c r="B62" s="139"/>
      <c r="C62" s="139"/>
      <c r="D62" s="139"/>
      <c r="E62" s="139"/>
      <c r="F62" s="139"/>
    </row>
    <row r="63" spans="1:9">
      <c r="A63" t="s">
        <v>323</v>
      </c>
      <c r="B63" s="139" t="s">
        <v>325</v>
      </c>
      <c r="C63" s="139"/>
      <c r="D63" s="139"/>
      <c r="E63" s="139"/>
      <c r="F63" s="139"/>
    </row>
    <row r="65" spans="1:6">
      <c r="A65" t="s">
        <v>59</v>
      </c>
      <c r="B65" s="3">
        <f>SUM(B60:B64)</f>
        <v>229935761.07549226</v>
      </c>
      <c r="C65" s="3">
        <f>SUM(C60:C64)</f>
        <v>568099072.874964</v>
      </c>
      <c r="D65" s="3">
        <f>SUM(D60:D64)</f>
        <v>107108974.2682294</v>
      </c>
      <c r="E65" s="3">
        <f>SUM(E60:E64)</f>
        <v>22642359.52283673</v>
      </c>
      <c r="F65" s="3">
        <f>SUM(F60:F64)</f>
        <v>927786167.74152243</v>
      </c>
    </row>
    <row r="69" spans="1:6">
      <c r="A69" t="s">
        <v>181</v>
      </c>
      <c r="B69" s="3">
        <f>+Summary!H98</f>
        <v>229935761.07549235</v>
      </c>
      <c r="C69" s="3">
        <f>+Summary!I98</f>
        <v>568099072.87496376</v>
      </c>
      <c r="D69" s="3">
        <f>+Summary!J98</f>
        <v>107108974.26822948</v>
      </c>
      <c r="E69" s="3">
        <f>+Summary!K98</f>
        <v>22642359.52283673</v>
      </c>
      <c r="F69" s="3">
        <f>+Summary!L98</f>
        <v>927786167.74152207</v>
      </c>
    </row>
    <row r="70" spans="1:6">
      <c r="B70" s="3">
        <f>+B65-B69</f>
        <v>0</v>
      </c>
      <c r="C70" s="3">
        <f>+C65-C69</f>
        <v>0</v>
      </c>
      <c r="D70" s="3">
        <f>+D65-D69</f>
        <v>0</v>
      </c>
      <c r="E70" s="3">
        <f>+E65-E69</f>
        <v>0</v>
      </c>
      <c r="F70" s="3">
        <f>+F65-F69</f>
        <v>0</v>
      </c>
    </row>
  </sheetData>
  <mergeCells count="3">
    <mergeCell ref="A62:F62"/>
    <mergeCell ref="B63:F63"/>
    <mergeCell ref="A1:F1"/>
  </mergeCells>
  <printOptions horizontalCentered="1" verticalCentered="1"/>
  <pageMargins left="0.25" right="0.25" top="0.75" bottom="0.75" header="0.4" footer="0.4"/>
  <pageSetup scale="51" orientation="landscape" r:id="rId1"/>
  <headerFooter>
    <oddHeader>&amp;L&amp;"Geneva,Bold"&amp;D 
&amp;F &amp;C&amp;"Geneva,Bold Italic"Estate Closed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75" zoomScaleNormal="75" workbookViewId="0">
      <selection activeCell="C43" sqref="C43"/>
    </sheetView>
  </sheetViews>
  <sheetFormatPr defaultRowHeight="15"/>
  <cols>
    <col min="1" max="1" width="29.85546875" bestFit="1" customWidth="1"/>
    <col min="2" max="2" width="11" bestFit="1" customWidth="1"/>
    <col min="3" max="3" width="9.85546875" bestFit="1" customWidth="1"/>
    <col min="4" max="4" width="9.28515625" bestFit="1" customWidth="1"/>
    <col min="5" max="5" width="12" bestFit="1" customWidth="1"/>
    <col min="6" max="6" width="11" bestFit="1" customWidth="1"/>
    <col min="7" max="7" width="2.7109375" customWidth="1"/>
    <col min="8" max="8" width="41.5703125" bestFit="1" customWidth="1"/>
    <col min="9" max="9" width="11" bestFit="1" customWidth="1"/>
  </cols>
  <sheetData>
    <row r="1" spans="1:9">
      <c r="A1" s="156" t="s">
        <v>386</v>
      </c>
      <c r="B1" s="157"/>
      <c r="C1" s="157"/>
      <c r="D1" s="157"/>
      <c r="E1" s="157"/>
      <c r="F1" s="157"/>
    </row>
    <row r="3" spans="1:9">
      <c r="B3" s="51"/>
      <c r="C3" s="51" t="s">
        <v>184</v>
      </c>
      <c r="D3" s="51"/>
      <c r="E3" s="51" t="s">
        <v>185</v>
      </c>
      <c r="F3" s="51"/>
    </row>
    <row r="4" spans="1:9">
      <c r="B4" s="51" t="s">
        <v>55</v>
      </c>
      <c r="C4" s="51" t="s">
        <v>186</v>
      </c>
      <c r="D4" s="51" t="s">
        <v>57</v>
      </c>
      <c r="E4" s="51" t="s">
        <v>186</v>
      </c>
      <c r="F4" s="51" t="s">
        <v>59</v>
      </c>
    </row>
    <row r="6" spans="1:9">
      <c r="A6" t="s">
        <v>0</v>
      </c>
      <c r="B6" s="3">
        <f>+'Confed Life &amp; Annty (CLIAC)'!B6+'Fidelity Mutual'!B6+'First Capital'!B6+Midcontinent!B6+Settlers!B6+Shenandoah!B6</f>
        <v>28199.362399263275</v>
      </c>
      <c r="C6" s="3">
        <f>+'Confed Life &amp; Annty (CLIAC)'!C6+'Fidelity Mutual'!C6+'First Capital'!C6+Midcontinent!C6+Settlers!C6+Shenandoah!C6</f>
        <v>1653.5478308365155</v>
      </c>
      <c r="D6" s="3">
        <f>+'Confed Life &amp; Annty (CLIAC)'!D6+'Fidelity Mutual'!D6+'First Capital'!D6+Midcontinent!D6+Settlers!D6+Shenandoah!D6</f>
        <v>1314.1484031265127</v>
      </c>
      <c r="E6" s="3">
        <f>+'Confed Life &amp; Annty (CLIAC)'!E6+'Fidelity Mutual'!E6+'First Capital'!E6+Midcontinent!E6+Settlers!E6+Shenandoah!E6</f>
        <v>0</v>
      </c>
      <c r="F6" s="3">
        <f t="shared" ref="F6:F37" si="0">SUM(B6:E6)</f>
        <v>31167.058633226305</v>
      </c>
      <c r="H6" t="s">
        <v>369</v>
      </c>
      <c r="I6" s="3">
        <f>+Summary!L102</f>
        <v>0</v>
      </c>
    </row>
    <row r="7" spans="1:9">
      <c r="A7" t="s">
        <v>1</v>
      </c>
      <c r="B7" s="3">
        <f>+'Confed Life &amp; Annty (CLIAC)'!B7+'Fidelity Mutual'!B7+'First Capital'!B7+Midcontinent!B7+Settlers!B7+Shenandoah!B7</f>
        <v>64.178967367377652</v>
      </c>
      <c r="C7" s="3">
        <f>+'Confed Life &amp; Annty (CLIAC)'!C7+'Fidelity Mutual'!C7+'First Capital'!C7+Midcontinent!C7+Settlers!C7+Shenandoah!C7</f>
        <v>9.332426604706086</v>
      </c>
      <c r="D7" s="3">
        <f>+'Confed Life &amp; Annty (CLIAC)'!D7+'Fidelity Mutual'!D7+'First Capital'!D7+Midcontinent!D7+Settlers!D7+Shenandoah!D7</f>
        <v>0</v>
      </c>
      <c r="E7" s="3">
        <f>+'Confed Life &amp; Annty (CLIAC)'!E7+'Fidelity Mutual'!E7+'First Capital'!E7+Midcontinent!E7+Settlers!E7+Shenandoah!E7</f>
        <v>0</v>
      </c>
      <c r="F7" s="3">
        <f t="shared" si="0"/>
        <v>73.511393972083738</v>
      </c>
      <c r="H7" t="s">
        <v>372</v>
      </c>
      <c r="I7" s="3">
        <f>+Summary!L103</f>
        <v>1272531.8900000001</v>
      </c>
    </row>
    <row r="8" spans="1:9">
      <c r="A8" t="s">
        <v>2</v>
      </c>
      <c r="B8" s="3">
        <f>+'Confed Life &amp; Annty (CLIAC)'!B8+'Fidelity Mutual'!B8+'First Capital'!B8+Midcontinent!B8+Settlers!B8+Shenandoah!B8</f>
        <v>22743.885156888467</v>
      </c>
      <c r="C8" s="3">
        <f>+'Confed Life &amp; Annty (CLIAC)'!C8+'Fidelity Mutual'!C8+'First Capital'!C8+Midcontinent!C8+Settlers!C8+Shenandoah!C8</f>
        <v>1236.1050917664647</v>
      </c>
      <c r="D8" s="3">
        <f>+'Confed Life &amp; Annty (CLIAC)'!D8+'Fidelity Mutual'!D8+'First Capital'!D8+Midcontinent!D8+Settlers!D8+Shenandoah!D8</f>
        <v>839.7690522866576</v>
      </c>
      <c r="E8" s="3">
        <f>+'Confed Life &amp; Annty (CLIAC)'!E8+'Fidelity Mutual'!E8+'First Capital'!E8+Midcontinent!E8+Settlers!E8+Shenandoah!E8</f>
        <v>0</v>
      </c>
      <c r="F8" s="3">
        <f t="shared" si="0"/>
        <v>24819.75930094159</v>
      </c>
      <c r="H8" t="s">
        <v>375</v>
      </c>
      <c r="I8" s="3">
        <f>+Summary!L104</f>
        <v>53265.55</v>
      </c>
    </row>
    <row r="9" spans="1:9">
      <c r="A9" t="s">
        <v>3</v>
      </c>
      <c r="B9" s="3">
        <f>+'Confed Life &amp; Annty (CLIAC)'!B9+'Fidelity Mutual'!B9+'First Capital'!B9+Midcontinent!B9+Settlers!B9+Shenandoah!B9</f>
        <v>11985.6580779163</v>
      </c>
      <c r="C9" s="3">
        <f>+'Confed Life &amp; Annty (CLIAC)'!C9+'Fidelity Mutual'!C9+'First Capital'!C9+Midcontinent!C9+Settlers!C9+Shenandoah!C9</f>
        <v>1089.2865471509469</v>
      </c>
      <c r="D9" s="3">
        <f>+'Confed Life &amp; Annty (CLIAC)'!D9+'Fidelity Mutual'!D9+'First Capital'!D9+Midcontinent!D9+Settlers!D9+Shenandoah!D9</f>
        <v>853.12756815373234</v>
      </c>
      <c r="E9" s="3">
        <f>+'Confed Life &amp; Annty (CLIAC)'!E9+'Fidelity Mutual'!E9+'First Capital'!E9+Midcontinent!E9+Settlers!E9+Shenandoah!E9</f>
        <v>0</v>
      </c>
      <c r="F9" s="3">
        <f t="shared" si="0"/>
        <v>13928.072193220978</v>
      </c>
      <c r="H9" t="s">
        <v>377</v>
      </c>
      <c r="I9" s="3">
        <f>+Summary!L105</f>
        <v>368159.82000000012</v>
      </c>
    </row>
    <row r="10" spans="1:9">
      <c r="A10" t="s">
        <v>4</v>
      </c>
      <c r="B10" s="3">
        <f>+'Confed Life &amp; Annty (CLIAC)'!B10+'Fidelity Mutual'!B10+'First Capital'!B10+Midcontinent!B10+Settlers!B10+Shenandoah!B10</f>
        <v>143003.84535573388</v>
      </c>
      <c r="C10" s="3">
        <f>+'Confed Life &amp; Annty (CLIAC)'!C10+'Fidelity Mutual'!C10+'First Capital'!C10+Midcontinent!C10+Settlers!C10+Shenandoah!C10</f>
        <v>3995.5815482323069</v>
      </c>
      <c r="D10" s="3">
        <f>+'Confed Life &amp; Annty (CLIAC)'!D10+'Fidelity Mutual'!D10+'First Capital'!D10+Midcontinent!D10+Settlers!D10+Shenandoah!D10</f>
        <v>2.6908219571719187</v>
      </c>
      <c r="E10" s="3">
        <f>+'Confed Life &amp; Annty (CLIAC)'!E10+'Fidelity Mutual'!E10+'First Capital'!E10+Midcontinent!E10+Settlers!E10+Shenandoah!E10</f>
        <v>0</v>
      </c>
      <c r="F10" s="3">
        <f t="shared" si="0"/>
        <v>147002.11772592334</v>
      </c>
      <c r="H10" t="s">
        <v>379</v>
      </c>
      <c r="I10" s="3">
        <f>+Summary!L106</f>
        <v>0</v>
      </c>
    </row>
    <row r="11" spans="1:9">
      <c r="A11" t="s">
        <v>5</v>
      </c>
      <c r="B11" s="3">
        <f>+'Confed Life &amp; Annty (CLIAC)'!B11+'Fidelity Mutual'!B11+'First Capital'!B11+Midcontinent!B11+Settlers!B11+Shenandoah!B11</f>
        <v>33679.961462630032</v>
      </c>
      <c r="C11" s="3">
        <f>+'Confed Life &amp; Annty (CLIAC)'!C11+'Fidelity Mutual'!C11+'First Capital'!C11+Midcontinent!C11+Settlers!C11+Shenandoah!C11</f>
        <v>3186.3979336244288</v>
      </c>
      <c r="D11" s="3">
        <f>+'Confed Life &amp; Annty (CLIAC)'!D11+'Fidelity Mutual'!D11+'First Capital'!D11+Midcontinent!D11+Settlers!D11+Shenandoah!D11</f>
        <v>286.78630059772433</v>
      </c>
      <c r="E11" s="3">
        <f>+'Confed Life &amp; Annty (CLIAC)'!E11+'Fidelity Mutual'!E11+'First Capital'!E11+Midcontinent!E11+Settlers!E11+Shenandoah!E11</f>
        <v>0</v>
      </c>
      <c r="F11" s="3">
        <f t="shared" si="0"/>
        <v>37153.145696852189</v>
      </c>
      <c r="H11" t="s">
        <v>381</v>
      </c>
      <c r="I11" s="3">
        <f>+Summary!L107</f>
        <v>127565</v>
      </c>
    </row>
    <row r="12" spans="1:9">
      <c r="A12" t="s">
        <v>6</v>
      </c>
      <c r="B12" s="3">
        <f>+'Confed Life &amp; Annty (CLIAC)'!B12+'Fidelity Mutual'!B12+'First Capital'!B12+Midcontinent!B12+Settlers!B12+Shenandoah!B12</f>
        <v>12965.653408344961</v>
      </c>
      <c r="C12" s="3">
        <f>+'Confed Life &amp; Annty (CLIAC)'!C12+'Fidelity Mutual'!C12+'First Capital'!C12+Midcontinent!C12+Settlers!C12+Shenandoah!C12</f>
        <v>219.70677924690196</v>
      </c>
      <c r="D12" s="3">
        <f>+'Confed Life &amp; Annty (CLIAC)'!D12+'Fidelity Mutual'!D12+'First Capital'!D12+Midcontinent!D12+Settlers!D12+Shenandoah!D12</f>
        <v>0</v>
      </c>
      <c r="E12" s="3">
        <f>+'Confed Life &amp; Annty (CLIAC)'!E12+'Fidelity Mutual'!E12+'First Capital'!E12+Midcontinent!E12+Settlers!E12+Shenandoah!E12</f>
        <v>0</v>
      </c>
      <c r="F12" s="3">
        <f t="shared" si="0"/>
        <v>13185.360187591863</v>
      </c>
      <c r="H12" t="s">
        <v>383</v>
      </c>
      <c r="I12" s="3">
        <f>+Summary!L108</f>
        <v>566459.67000000004</v>
      </c>
    </row>
    <row r="13" spans="1:9">
      <c r="A13" t="s">
        <v>7</v>
      </c>
      <c r="B13" s="3">
        <f>+'Confed Life &amp; Annty (CLIAC)'!B13+'Fidelity Mutual'!B13+'First Capital'!B13+Midcontinent!B13+Settlers!B13+Shenandoah!B13</f>
        <v>10835.822371496715</v>
      </c>
      <c r="C13" s="3">
        <f>+'Confed Life &amp; Annty (CLIAC)'!C13+'Fidelity Mutual'!C13+'First Capital'!C13+Midcontinent!C13+Settlers!C13+Shenandoah!C13</f>
        <v>1054.2375782447207</v>
      </c>
      <c r="D13" s="3">
        <f>+'Confed Life &amp; Annty (CLIAC)'!D13+'Fidelity Mutual'!D13+'First Capital'!D13+Midcontinent!D13+Settlers!D13+Shenandoah!D13</f>
        <v>216.06132855314272</v>
      </c>
      <c r="E13" s="3">
        <f>+'Confed Life &amp; Annty (CLIAC)'!E13+'Fidelity Mutual'!E13+'First Capital'!E13+Midcontinent!E13+Settlers!E13+Shenandoah!E13</f>
        <v>0</v>
      </c>
      <c r="F13" s="3">
        <f t="shared" si="0"/>
        <v>12106.12127829458</v>
      </c>
      <c r="I13" s="3"/>
    </row>
    <row r="14" spans="1:9">
      <c r="A14" t="s">
        <v>8</v>
      </c>
      <c r="B14" s="3">
        <f>+'Confed Life &amp; Annty (CLIAC)'!B14+'Fidelity Mutual'!B14+'First Capital'!B14+Midcontinent!B14+Settlers!B14+Shenandoah!B14</f>
        <v>5767.6941816586805</v>
      </c>
      <c r="C14" s="3">
        <f>+'Confed Life &amp; Annty (CLIAC)'!C14+'Fidelity Mutual'!C14+'First Capital'!C14+Midcontinent!C14+Settlers!C14+Shenandoah!C14</f>
        <v>911.74313857502716</v>
      </c>
      <c r="D14" s="3">
        <f>+'Confed Life &amp; Annty (CLIAC)'!D14+'Fidelity Mutual'!D14+'First Capital'!D14+Midcontinent!D14+Settlers!D14+Shenandoah!D14</f>
        <v>343.90384045552173</v>
      </c>
      <c r="E14" s="3">
        <f>+'Confed Life &amp; Annty (CLIAC)'!E14+'Fidelity Mutual'!E14+'First Capital'!E14+Midcontinent!E14+Settlers!E14+Shenandoah!E14</f>
        <v>0</v>
      </c>
      <c r="F14" s="3">
        <f t="shared" si="0"/>
        <v>7023.3411606892296</v>
      </c>
      <c r="H14" t="s">
        <v>59</v>
      </c>
      <c r="I14" s="3">
        <f>SUM(I6:I13)</f>
        <v>2387981.9300000002</v>
      </c>
    </row>
    <row r="15" spans="1:9">
      <c r="A15" t="s">
        <v>9</v>
      </c>
      <c r="B15" s="3">
        <f>+'Confed Life &amp; Annty (CLIAC)'!B15+'Fidelity Mutual'!B15+'First Capital'!B15+Midcontinent!B15+Settlers!B15+Shenandoah!B15</f>
        <v>144683.89846873155</v>
      </c>
      <c r="C15" s="3">
        <f>+'Confed Life &amp; Annty (CLIAC)'!C15+'Fidelity Mutual'!C15+'First Capital'!C15+Midcontinent!C15+Settlers!C15+Shenandoah!C15</f>
        <v>31843.658443990807</v>
      </c>
      <c r="D15" s="3">
        <f>+'Confed Life &amp; Annty (CLIAC)'!D15+'Fidelity Mutual'!D15+'First Capital'!D15+Midcontinent!D15+Settlers!D15+Shenandoah!D15</f>
        <v>19141.357059131296</v>
      </c>
      <c r="E15" s="3">
        <f>+'Confed Life &amp; Annty (CLIAC)'!E15+'Fidelity Mutual'!E15+'First Capital'!E15+Midcontinent!E15+Settlers!E15+Shenandoah!E15</f>
        <v>0</v>
      </c>
      <c r="F15" s="3">
        <f t="shared" si="0"/>
        <v>195668.91397185365</v>
      </c>
      <c r="H15" t="s">
        <v>182</v>
      </c>
      <c r="I15" s="3">
        <f>+F65</f>
        <v>2387981.9300000002</v>
      </c>
    </row>
    <row r="16" spans="1:9">
      <c r="A16" t="s">
        <v>10</v>
      </c>
      <c r="B16" s="3">
        <f>+'Confed Life &amp; Annty (CLIAC)'!B16+'Fidelity Mutual'!B16+'First Capital'!B16+Midcontinent!B16+Settlers!B16+Shenandoah!B16</f>
        <v>47723.456547778595</v>
      </c>
      <c r="C16" s="3">
        <f>+'Confed Life &amp; Annty (CLIAC)'!C16+'Fidelity Mutual'!C16+'First Capital'!C16+Midcontinent!C16+Settlers!C16+Shenandoah!C16</f>
        <v>12531.518429476944</v>
      </c>
      <c r="D16" s="3">
        <f>+'Confed Life &amp; Annty (CLIAC)'!D16+'Fidelity Mutual'!D16+'First Capital'!D16+Midcontinent!D16+Settlers!D16+Shenandoah!D16</f>
        <v>9799.852828824618</v>
      </c>
      <c r="E16" s="3">
        <f>+'Confed Life &amp; Annty (CLIAC)'!E16+'Fidelity Mutual'!E16+'First Capital'!E16+Midcontinent!E16+Settlers!E16+Shenandoah!E16</f>
        <v>1190.5194507564629</v>
      </c>
      <c r="F16" s="3">
        <f t="shared" si="0"/>
        <v>71245.347256836612</v>
      </c>
      <c r="I16" s="3">
        <f>+I14-I15</f>
        <v>0</v>
      </c>
    </row>
    <row r="17" spans="1:6">
      <c r="A17" t="s">
        <v>11</v>
      </c>
      <c r="B17" s="3">
        <f>+'Confed Life &amp; Annty (CLIAC)'!B17+'Fidelity Mutual'!B17+'First Capital'!B17+Midcontinent!B17+Settlers!B17+Shenandoah!B17</f>
        <v>325.05630905179578</v>
      </c>
      <c r="C17" s="3">
        <f>+'Confed Life &amp; Annty (CLIAC)'!C17+'Fidelity Mutual'!C17+'First Capital'!C17+Midcontinent!C17+Settlers!C17+Shenandoah!C17</f>
        <v>62.784114559955015</v>
      </c>
      <c r="D17" s="3">
        <f>+'Confed Life &amp; Annty (CLIAC)'!D17+'Fidelity Mutual'!D17+'First Capital'!D17+Midcontinent!D17+Settlers!D17+Shenandoah!D17</f>
        <v>0</v>
      </c>
      <c r="E17" s="3">
        <f>+'Confed Life &amp; Annty (CLIAC)'!E17+'Fidelity Mutual'!E17+'First Capital'!E17+Midcontinent!E17+Settlers!E17+Shenandoah!E17</f>
        <v>0</v>
      </c>
      <c r="F17" s="3">
        <f t="shared" si="0"/>
        <v>387.84042361175079</v>
      </c>
    </row>
    <row r="18" spans="1:6">
      <c r="A18" t="s">
        <v>12</v>
      </c>
      <c r="B18" s="3">
        <f>+'Confed Life &amp; Annty (CLIAC)'!B18+'Fidelity Mutual'!B18+'First Capital'!B18+Midcontinent!B18+Settlers!B18+Shenandoah!B18</f>
        <v>811.38374554126881</v>
      </c>
      <c r="C18" s="3">
        <f>+'Confed Life &amp; Annty (CLIAC)'!C18+'Fidelity Mutual'!C18+'First Capital'!C18+Midcontinent!C18+Settlers!C18+Shenandoah!C18</f>
        <v>9.6897555808695586</v>
      </c>
      <c r="D18" s="3">
        <f>+'Confed Life &amp; Annty (CLIAC)'!D18+'Fidelity Mutual'!D18+'First Capital'!D18+Midcontinent!D18+Settlers!D18+Shenandoah!D18</f>
        <v>0</v>
      </c>
      <c r="E18" s="3">
        <f>+'Confed Life &amp; Annty (CLIAC)'!E18+'Fidelity Mutual'!E18+'First Capital'!E18+Midcontinent!E18+Settlers!E18+Shenandoah!E18</f>
        <v>0</v>
      </c>
      <c r="F18" s="3">
        <f t="shared" si="0"/>
        <v>821.0735011221384</v>
      </c>
    </row>
    <row r="19" spans="1:6">
      <c r="A19" t="s">
        <v>13</v>
      </c>
      <c r="B19" s="3">
        <f>+'Confed Life &amp; Annty (CLIAC)'!B19+'Fidelity Mutual'!B19+'First Capital'!B19+Midcontinent!B19+Settlers!B19+Shenandoah!B19</f>
        <v>81939.495961495035</v>
      </c>
      <c r="C19" s="3">
        <f>+'Confed Life &amp; Annty (CLIAC)'!C19+'Fidelity Mutual'!C19+'First Capital'!C19+Midcontinent!C19+Settlers!C19+Shenandoah!C19</f>
        <v>8257.1731906386722</v>
      </c>
      <c r="D19" s="3">
        <f>+'Confed Life &amp; Annty (CLIAC)'!D19+'Fidelity Mutual'!D19+'First Capital'!D19+Midcontinent!D19+Settlers!D19+Shenandoah!D19</f>
        <v>1340.5559041569716</v>
      </c>
      <c r="E19" s="3">
        <f>+'Confed Life &amp; Annty (CLIAC)'!E19+'Fidelity Mutual'!E19+'First Capital'!E19+Midcontinent!E19+Settlers!E19+Shenandoah!E19</f>
        <v>359.7834672914268</v>
      </c>
      <c r="F19" s="3">
        <f t="shared" si="0"/>
        <v>91897.008523582102</v>
      </c>
    </row>
    <row r="20" spans="1:6">
      <c r="A20" t="s">
        <v>14</v>
      </c>
      <c r="B20" s="3">
        <f>+'Confed Life &amp; Annty (CLIAC)'!B20+'Fidelity Mutual'!B20+'First Capital'!B20+Midcontinent!B20+Settlers!B20+Shenandoah!B20</f>
        <v>18083.942332317136</v>
      </c>
      <c r="C20" s="3">
        <f>+'Confed Life &amp; Annty (CLIAC)'!C20+'Fidelity Mutual'!C20+'First Capital'!C20+Midcontinent!C20+Settlers!C20+Shenandoah!C20</f>
        <v>5849.82395434306</v>
      </c>
      <c r="D20" s="3">
        <f>+'Confed Life &amp; Annty (CLIAC)'!D20+'Fidelity Mutual'!D20+'First Capital'!D20+Midcontinent!D20+Settlers!D20+Shenandoah!D20</f>
        <v>3168.2040966651612</v>
      </c>
      <c r="E20" s="3">
        <f>+'Confed Life &amp; Annty (CLIAC)'!E20+'Fidelity Mutual'!E20+'First Capital'!E20+Midcontinent!E20+Settlers!E20+Shenandoah!E20</f>
        <v>0</v>
      </c>
      <c r="F20" s="3">
        <f t="shared" si="0"/>
        <v>27101.970383325359</v>
      </c>
    </row>
    <row r="21" spans="1:6">
      <c r="A21" t="s">
        <v>15</v>
      </c>
      <c r="B21" s="3">
        <f>+'Confed Life &amp; Annty (CLIAC)'!B21+'Fidelity Mutual'!B21+'First Capital'!B21+Midcontinent!B21+Settlers!B21+Shenandoah!B21</f>
        <v>3914.153362512111</v>
      </c>
      <c r="C21" s="3">
        <f>+'Confed Life &amp; Annty (CLIAC)'!C21+'Fidelity Mutual'!C21+'First Capital'!C21+Midcontinent!C21+Settlers!C21+Shenandoah!C21</f>
        <v>741.22671164226824</v>
      </c>
      <c r="D21" s="3">
        <f>+'Confed Life &amp; Annty (CLIAC)'!D21+'Fidelity Mutual'!D21+'First Capital'!D21+Midcontinent!D21+Settlers!D21+Shenandoah!D21</f>
        <v>353.00324168158215</v>
      </c>
      <c r="E21" s="3">
        <f>+'Confed Life &amp; Annty (CLIAC)'!E21+'Fidelity Mutual'!E21+'First Capital'!E21+Midcontinent!E21+Settlers!E21+Shenandoah!E21</f>
        <v>0</v>
      </c>
      <c r="F21" s="3">
        <f t="shared" si="0"/>
        <v>5008.3833158359612</v>
      </c>
    </row>
    <row r="22" spans="1:6">
      <c r="A22" t="s">
        <v>16</v>
      </c>
      <c r="B22" s="3">
        <f>+'Confed Life &amp; Annty (CLIAC)'!B22+'Fidelity Mutual'!B22+'First Capital'!B22+Midcontinent!B22+Settlers!B22+Shenandoah!B22</f>
        <v>14259.616633105812</v>
      </c>
      <c r="C22" s="3">
        <f>+'Confed Life &amp; Annty (CLIAC)'!C22+'Fidelity Mutual'!C22+'First Capital'!C22+Midcontinent!C22+Settlers!C22+Shenandoah!C22</f>
        <v>334.49053071476044</v>
      </c>
      <c r="D22" s="3">
        <f>+'Confed Life &amp; Annty (CLIAC)'!D22+'Fidelity Mutual'!D22+'First Capital'!D22+Midcontinent!D22+Settlers!D22+Shenandoah!D22</f>
        <v>238.96649845741771</v>
      </c>
      <c r="E22" s="3">
        <f>+'Confed Life &amp; Annty (CLIAC)'!E22+'Fidelity Mutual'!E22+'First Capital'!E22+Midcontinent!E22+Settlers!E22+Shenandoah!E22</f>
        <v>0</v>
      </c>
      <c r="F22" s="3">
        <f t="shared" si="0"/>
        <v>14833.07366227799</v>
      </c>
    </row>
    <row r="23" spans="1:6">
      <c r="A23" t="s">
        <v>17</v>
      </c>
      <c r="B23" s="3">
        <f>+'Confed Life &amp; Annty (CLIAC)'!B23+'Fidelity Mutual'!B23+'First Capital'!B23+Midcontinent!B23+Settlers!B23+Shenandoah!B23</f>
        <v>32132.841069882354</v>
      </c>
      <c r="C23" s="3">
        <f>+'Confed Life &amp; Annty (CLIAC)'!C23+'Fidelity Mutual'!C23+'First Capital'!C23+Midcontinent!C23+Settlers!C23+Shenandoah!C23</f>
        <v>6066.4146731483834</v>
      </c>
      <c r="D23" s="3">
        <f>+'Confed Life &amp; Annty (CLIAC)'!D23+'Fidelity Mutual'!D23+'First Capital'!D23+Midcontinent!D23+Settlers!D23+Shenandoah!D23</f>
        <v>3192.6803290280914</v>
      </c>
      <c r="E23" s="3">
        <f>+'Confed Life &amp; Annty (CLIAC)'!E23+'Fidelity Mutual'!E23+'First Capital'!E23+Midcontinent!E23+Settlers!E23+Shenandoah!E23</f>
        <v>0</v>
      </c>
      <c r="F23" s="3">
        <f t="shared" si="0"/>
        <v>41391.93607205883</v>
      </c>
    </row>
    <row r="24" spans="1:6">
      <c r="A24" t="s">
        <v>18</v>
      </c>
      <c r="B24" s="3">
        <f>+'Confed Life &amp; Annty (CLIAC)'!B24+'Fidelity Mutual'!B24+'First Capital'!B24+Midcontinent!B24+Settlers!B24+Shenandoah!B24</f>
        <v>20696.864138623972</v>
      </c>
      <c r="C24" s="3">
        <f>+'Confed Life &amp; Annty (CLIAC)'!C24+'Fidelity Mutual'!C24+'First Capital'!C24+Midcontinent!C24+Settlers!C24+Shenandoah!C24</f>
        <v>7157.8788138788987</v>
      </c>
      <c r="D24" s="3">
        <f>+'Confed Life &amp; Annty (CLIAC)'!D24+'Fidelity Mutual'!D24+'First Capital'!D24+Midcontinent!D24+Settlers!D24+Shenandoah!D24</f>
        <v>6335.3937722598521</v>
      </c>
      <c r="E24" s="3">
        <f>+'Confed Life &amp; Annty (CLIAC)'!E24+'Fidelity Mutual'!E24+'First Capital'!E24+Midcontinent!E24+Settlers!E24+Shenandoah!E24</f>
        <v>0</v>
      </c>
      <c r="F24" s="3">
        <f t="shared" si="0"/>
        <v>34190.13672476272</v>
      </c>
    </row>
    <row r="25" spans="1:6">
      <c r="A25" t="s">
        <v>19</v>
      </c>
      <c r="B25" s="3">
        <f>+'Confed Life &amp; Annty (CLIAC)'!B25+'Fidelity Mutual'!B25+'First Capital'!B25+Midcontinent!B25+Settlers!B25+Shenandoah!B25</f>
        <v>6888.6570946971224</v>
      </c>
      <c r="C25" s="3">
        <f>+'Confed Life &amp; Annty (CLIAC)'!C25+'Fidelity Mutual'!C25+'First Capital'!C25+Midcontinent!C25+Settlers!C25+Shenandoah!C25</f>
        <v>5187.8408973014693</v>
      </c>
      <c r="D25" s="3">
        <f>+'Confed Life &amp; Annty (CLIAC)'!D25+'Fidelity Mutual'!D25+'First Capital'!D25+Midcontinent!D25+Settlers!D25+Shenandoah!D25</f>
        <v>0</v>
      </c>
      <c r="E25" s="3">
        <f>+'Confed Life &amp; Annty (CLIAC)'!E25+'Fidelity Mutual'!E25+'First Capital'!E25+Midcontinent!E25+Settlers!E25+Shenandoah!E25</f>
        <v>0</v>
      </c>
      <c r="F25" s="3">
        <f t="shared" si="0"/>
        <v>12076.497991998593</v>
      </c>
    </row>
    <row r="26" spans="1:6">
      <c r="A26" t="s">
        <v>20</v>
      </c>
      <c r="B26" s="3">
        <f>+'Confed Life &amp; Annty (CLIAC)'!B26+'Fidelity Mutual'!B26+'First Capital'!B26+Midcontinent!B26+Settlers!B26+Shenandoah!B26</f>
        <v>35724.745731361203</v>
      </c>
      <c r="C26" s="3">
        <f>+'Confed Life &amp; Annty (CLIAC)'!C26+'Fidelity Mutual'!C26+'First Capital'!C26+Midcontinent!C26+Settlers!C26+Shenandoah!C26</f>
        <v>4537.4723107148766</v>
      </c>
      <c r="D26" s="3">
        <f>+'Confed Life &amp; Annty (CLIAC)'!D26+'Fidelity Mutual'!D26+'First Capital'!D26+Midcontinent!D26+Settlers!D26+Shenandoah!D26</f>
        <v>3086.1899033781829</v>
      </c>
      <c r="E26" s="3">
        <f>+'Confed Life &amp; Annty (CLIAC)'!E26+'Fidelity Mutual'!E26+'First Capital'!E26+Midcontinent!E26+Settlers!E26+Shenandoah!E26</f>
        <v>0</v>
      </c>
      <c r="F26" s="3">
        <f t="shared" si="0"/>
        <v>43348.407945454259</v>
      </c>
    </row>
    <row r="27" spans="1:6">
      <c r="A27" t="s">
        <v>21</v>
      </c>
      <c r="B27" s="3">
        <f>+'Confed Life &amp; Annty (CLIAC)'!B27+'Fidelity Mutual'!B27+'First Capital'!B27+Midcontinent!B27+Settlers!B27+Shenandoah!B27</f>
        <v>71354.349990401504</v>
      </c>
      <c r="C27" s="3">
        <f>+'Confed Life &amp; Annty (CLIAC)'!C27+'Fidelity Mutual'!C27+'First Capital'!C27+Midcontinent!C27+Settlers!C27+Shenandoah!C27</f>
        <v>2748.1118412819405</v>
      </c>
      <c r="D27" s="3">
        <f>+'Confed Life &amp; Annty (CLIAC)'!D27+'Fidelity Mutual'!D27+'First Capital'!D27+Midcontinent!D27+Settlers!D27+Shenandoah!D27</f>
        <v>0</v>
      </c>
      <c r="E27" s="3">
        <f>+'Confed Life &amp; Annty (CLIAC)'!E27+'Fidelity Mutual'!E27+'First Capital'!E27+Midcontinent!E27+Settlers!E27+Shenandoah!E27</f>
        <v>0</v>
      </c>
      <c r="F27" s="3">
        <f t="shared" si="0"/>
        <v>74102.461831683439</v>
      </c>
    </row>
    <row r="28" spans="1:6">
      <c r="A28" t="s">
        <v>22</v>
      </c>
      <c r="B28" s="3">
        <f>+'Confed Life &amp; Annty (CLIAC)'!B28+'Fidelity Mutual'!B28+'First Capital'!B28+Midcontinent!B28+Settlers!B28+Shenandoah!B28</f>
        <v>27589.295241265165</v>
      </c>
      <c r="C28" s="3">
        <f>+'Confed Life &amp; Annty (CLIAC)'!C28+'Fidelity Mutual'!C28+'First Capital'!C28+Midcontinent!C28+Settlers!C28+Shenandoah!C28</f>
        <v>6515.7992065089002</v>
      </c>
      <c r="D28" s="3">
        <f>+'Confed Life &amp; Annty (CLIAC)'!D28+'Fidelity Mutual'!D28+'First Capital'!D28+Midcontinent!D28+Settlers!D28+Shenandoah!D28</f>
        <v>4047.4238685013593</v>
      </c>
      <c r="E28" s="3">
        <f>+'Confed Life &amp; Annty (CLIAC)'!E28+'Fidelity Mutual'!E28+'First Capital'!E28+Midcontinent!E28+Settlers!E28+Shenandoah!E28</f>
        <v>745.84325522773304</v>
      </c>
      <c r="F28" s="3">
        <f t="shared" si="0"/>
        <v>38898.361571503156</v>
      </c>
    </row>
    <row r="29" spans="1:6">
      <c r="A29" t="s">
        <v>23</v>
      </c>
      <c r="B29" s="3">
        <f>+'Confed Life &amp; Annty (CLIAC)'!B29+'Fidelity Mutual'!B29+'First Capital'!B29+Midcontinent!B29+Settlers!B29+Shenandoah!B29</f>
        <v>6051.8734606370499</v>
      </c>
      <c r="C29" s="3">
        <f>+'Confed Life &amp; Annty (CLIAC)'!C29+'Fidelity Mutual'!C29+'First Capital'!C29+Midcontinent!C29+Settlers!C29+Shenandoah!C29</f>
        <v>200.54570448624818</v>
      </c>
      <c r="D29" s="3">
        <f>+'Confed Life &amp; Annty (CLIAC)'!D29+'Fidelity Mutual'!D29+'First Capital'!D29+Midcontinent!D29+Settlers!D29+Shenandoah!D29</f>
        <v>50.581965638983363</v>
      </c>
      <c r="E29" s="3">
        <f>+'Confed Life &amp; Annty (CLIAC)'!E29+'Fidelity Mutual'!E29+'First Capital'!E29+Midcontinent!E29+Settlers!E29+Shenandoah!E29</f>
        <v>0</v>
      </c>
      <c r="F29" s="3">
        <f t="shared" si="0"/>
        <v>6303.0011307622808</v>
      </c>
    </row>
    <row r="30" spans="1:6">
      <c r="A30" t="s">
        <v>24</v>
      </c>
      <c r="B30" s="3">
        <f>+'Confed Life &amp; Annty (CLIAC)'!B30+'Fidelity Mutual'!B30+'First Capital'!B30+Midcontinent!B30+Settlers!B30+Shenandoah!B30</f>
        <v>7143.528422699741</v>
      </c>
      <c r="C30" s="3">
        <f>+'Confed Life &amp; Annty (CLIAC)'!C30+'Fidelity Mutual'!C30+'First Capital'!C30+Midcontinent!C30+Settlers!C30+Shenandoah!C30</f>
        <v>2333.6691046765295</v>
      </c>
      <c r="D30" s="3">
        <f>+'Confed Life &amp; Annty (CLIAC)'!D30+'Fidelity Mutual'!D30+'First Capital'!D30+Midcontinent!D30+Settlers!D30+Shenandoah!D30</f>
        <v>1914.956465853649</v>
      </c>
      <c r="E30" s="3">
        <f>+'Confed Life &amp; Annty (CLIAC)'!E30+'Fidelity Mutual'!E30+'First Capital'!E30+Midcontinent!E30+Settlers!E30+Shenandoah!E30</f>
        <v>0</v>
      </c>
      <c r="F30" s="3">
        <f t="shared" si="0"/>
        <v>11392.15399322992</v>
      </c>
    </row>
    <row r="31" spans="1:6">
      <c r="A31" t="s">
        <v>25</v>
      </c>
      <c r="B31" s="3">
        <f>+'Confed Life &amp; Annty (CLIAC)'!B31+'Fidelity Mutual'!B31+'First Capital'!B31+Midcontinent!B31+Settlers!B31+Shenandoah!B31</f>
        <v>21106.385601725662</v>
      </c>
      <c r="C31" s="3">
        <f>+'Confed Life &amp; Annty (CLIAC)'!C31+'Fidelity Mutual'!C31+'First Capital'!C31+Midcontinent!C31+Settlers!C31+Shenandoah!C31</f>
        <v>1959.5921918759182</v>
      </c>
      <c r="D31" s="3">
        <f>+'Confed Life &amp; Annty (CLIAC)'!D31+'Fidelity Mutual'!D31+'First Capital'!D31+Midcontinent!D31+Settlers!D31+Shenandoah!D31</f>
        <v>1564.4891727795248</v>
      </c>
      <c r="E31" s="3">
        <f>+'Confed Life &amp; Annty (CLIAC)'!E31+'Fidelity Mutual'!E31+'First Capital'!E31+Midcontinent!E31+Settlers!E31+Shenandoah!E31</f>
        <v>0</v>
      </c>
      <c r="F31" s="3">
        <f t="shared" si="0"/>
        <v>24630.466966381107</v>
      </c>
    </row>
    <row r="32" spans="1:6">
      <c r="A32" t="s">
        <v>26</v>
      </c>
      <c r="B32" s="3">
        <f>+'Confed Life &amp; Annty (CLIAC)'!B32+'Fidelity Mutual'!B32+'First Capital'!B32+Midcontinent!B32+Settlers!B32+Shenandoah!B32</f>
        <v>798.00647089630331</v>
      </c>
      <c r="C32" s="3">
        <f>+'Confed Life &amp; Annty (CLIAC)'!C32+'Fidelity Mutual'!C32+'First Capital'!C32+Midcontinent!C32+Settlers!C32+Shenandoah!C32</f>
        <v>0</v>
      </c>
      <c r="D32" s="3">
        <f>+'Confed Life &amp; Annty (CLIAC)'!D32+'Fidelity Mutual'!D32+'First Capital'!D32+Midcontinent!D32+Settlers!D32+Shenandoah!D32</f>
        <v>0</v>
      </c>
      <c r="E32" s="3">
        <f>+'Confed Life &amp; Annty (CLIAC)'!E32+'Fidelity Mutual'!E32+'First Capital'!E32+Midcontinent!E32+Settlers!E32+Shenandoah!E32</f>
        <v>0</v>
      </c>
      <c r="F32" s="3">
        <f t="shared" si="0"/>
        <v>798.00647089630331</v>
      </c>
    </row>
    <row r="33" spans="1:6">
      <c r="A33" t="s">
        <v>27</v>
      </c>
      <c r="B33" s="3">
        <f>+'Confed Life &amp; Annty (CLIAC)'!B33+'Fidelity Mutual'!B33+'First Capital'!B33+Midcontinent!B33+Settlers!B33+Shenandoah!B33</f>
        <v>2676.7564575006204</v>
      </c>
      <c r="C33" s="3">
        <f>+'Confed Life &amp; Annty (CLIAC)'!C33+'Fidelity Mutual'!C33+'First Capital'!C33+Midcontinent!C33+Settlers!C33+Shenandoah!C33</f>
        <v>296.52674529156707</v>
      </c>
      <c r="D33" s="3">
        <f>+'Confed Life &amp; Annty (CLIAC)'!D33+'Fidelity Mutual'!D33+'First Capital'!D33+Midcontinent!D33+Settlers!D33+Shenandoah!D33</f>
        <v>229.35843678628959</v>
      </c>
      <c r="E33" s="3">
        <f>+'Confed Life &amp; Annty (CLIAC)'!E33+'Fidelity Mutual'!E33+'First Capital'!E33+Midcontinent!E33+Settlers!E33+Shenandoah!E33</f>
        <v>0</v>
      </c>
      <c r="F33" s="3">
        <f t="shared" si="0"/>
        <v>3202.6416395784772</v>
      </c>
    </row>
    <row r="34" spans="1:6">
      <c r="A34" t="s">
        <v>28</v>
      </c>
      <c r="B34" s="3">
        <f>+'Confed Life &amp; Annty (CLIAC)'!B34+'Fidelity Mutual'!B34+'First Capital'!B34+Midcontinent!B34+Settlers!B34+Shenandoah!B34</f>
        <v>4088.8601787881771</v>
      </c>
      <c r="C34" s="3">
        <f>+'Confed Life &amp; Annty (CLIAC)'!C34+'Fidelity Mutual'!C34+'First Capital'!C34+Midcontinent!C34+Settlers!C34+Shenandoah!C34</f>
        <v>8.6691551911841671</v>
      </c>
      <c r="D34" s="3">
        <f>+'Confed Life &amp; Annty (CLIAC)'!D34+'Fidelity Mutual'!D34+'First Capital'!D34+Midcontinent!D34+Settlers!D34+Shenandoah!D34</f>
        <v>0.52398875640960274</v>
      </c>
      <c r="E34" s="3">
        <f>+'Confed Life &amp; Annty (CLIAC)'!E34+'Fidelity Mutual'!E34+'First Capital'!E34+Midcontinent!E34+Settlers!E34+Shenandoah!E34</f>
        <v>0</v>
      </c>
      <c r="F34" s="3">
        <f t="shared" si="0"/>
        <v>4098.053322735771</v>
      </c>
    </row>
    <row r="35" spans="1:6">
      <c r="A35" t="s">
        <v>29</v>
      </c>
      <c r="B35" s="3">
        <f>+'Confed Life &amp; Annty (CLIAC)'!B35+'Fidelity Mutual'!B35+'First Capital'!B35+Midcontinent!B35+Settlers!B35+Shenandoah!B35</f>
        <v>9775.8259710998827</v>
      </c>
      <c r="C35" s="3">
        <f>+'Confed Life &amp; Annty (CLIAC)'!C35+'Fidelity Mutual'!C35+'First Capital'!C35+Midcontinent!C35+Settlers!C35+Shenandoah!C35</f>
        <v>307.3797887742395</v>
      </c>
      <c r="D35" s="3">
        <f>+'Confed Life &amp; Annty (CLIAC)'!D35+'Fidelity Mutual'!D35+'First Capital'!D35+Midcontinent!D35+Settlers!D35+Shenandoah!D35</f>
        <v>0</v>
      </c>
      <c r="E35" s="3">
        <f>+'Confed Life &amp; Annty (CLIAC)'!E35+'Fidelity Mutual'!E35+'First Capital'!E35+Midcontinent!E35+Settlers!E35+Shenandoah!E35</f>
        <v>0</v>
      </c>
      <c r="F35" s="3">
        <f t="shared" si="0"/>
        <v>10083.205759874123</v>
      </c>
    </row>
    <row r="36" spans="1:6">
      <c r="A36" t="s">
        <v>30</v>
      </c>
      <c r="B36" s="3">
        <f>+'Confed Life &amp; Annty (CLIAC)'!B36+'Fidelity Mutual'!B36+'First Capital'!B36+Midcontinent!B36+Settlers!B36+Shenandoah!B36</f>
        <v>79393.989215760128</v>
      </c>
      <c r="C36" s="3">
        <f>+'Confed Life &amp; Annty (CLIAC)'!C36+'Fidelity Mutual'!C36+'First Capital'!C36+Midcontinent!C36+Settlers!C36+Shenandoah!C36</f>
        <v>5516.4068369064908</v>
      </c>
      <c r="D36" s="3">
        <f>+'Confed Life &amp; Annty (CLIAC)'!D36+'Fidelity Mutual'!D36+'First Capital'!D36+Midcontinent!D36+Settlers!D36+Shenandoah!D36</f>
        <v>309.64727113388216</v>
      </c>
      <c r="E36" s="3">
        <f>+'Confed Life &amp; Annty (CLIAC)'!E36+'Fidelity Mutual'!E36+'First Capital'!E36+Midcontinent!E36+Settlers!E36+Shenandoah!E36</f>
        <v>2629.6533199221703</v>
      </c>
      <c r="F36" s="3">
        <f t="shared" si="0"/>
        <v>87849.69664372268</v>
      </c>
    </row>
    <row r="37" spans="1:6">
      <c r="A37" t="s">
        <v>31</v>
      </c>
      <c r="B37" s="3">
        <f>+'Confed Life &amp; Annty (CLIAC)'!B37+'Fidelity Mutual'!B37+'First Capital'!B37+Midcontinent!B37+Settlers!B37+Shenandoah!B37</f>
        <v>4881.7153580737931</v>
      </c>
      <c r="C37" s="3">
        <f>+'Confed Life &amp; Annty (CLIAC)'!C37+'Fidelity Mutual'!C37+'First Capital'!C37+Midcontinent!C37+Settlers!C37+Shenandoah!C37</f>
        <v>341.36533092834134</v>
      </c>
      <c r="D37" s="3">
        <f>+'Confed Life &amp; Annty (CLIAC)'!D37+'Fidelity Mutual'!D37+'First Capital'!D37+Midcontinent!D37+Settlers!D37+Shenandoah!D37</f>
        <v>244.88094476015749</v>
      </c>
      <c r="E37" s="3">
        <f>+'Confed Life &amp; Annty (CLIAC)'!E37+'Fidelity Mutual'!E37+'First Capital'!E37+Midcontinent!E37+Settlers!E37+Shenandoah!E37</f>
        <v>0</v>
      </c>
      <c r="F37" s="3">
        <f t="shared" si="0"/>
        <v>5467.961633762292</v>
      </c>
    </row>
    <row r="38" spans="1:6">
      <c r="A38" t="s">
        <v>32</v>
      </c>
      <c r="B38" s="3">
        <f>+'Confed Life &amp; Annty (CLIAC)'!B38+'Fidelity Mutual'!B38+'First Capital'!B38+Midcontinent!B38+Settlers!B38+Shenandoah!B38</f>
        <v>65878.778367581326</v>
      </c>
      <c r="C38" s="3">
        <f>+'Confed Life &amp; Annty (CLIAC)'!C38+'Fidelity Mutual'!C38+'First Capital'!C38+Midcontinent!C38+Settlers!C38+Shenandoah!C38</f>
        <v>8216.4033401103934</v>
      </c>
      <c r="D38" s="3">
        <f>+'Confed Life &amp; Annty (CLIAC)'!D38+'Fidelity Mutual'!D38+'First Capital'!D38+Midcontinent!D38+Settlers!D38+Shenandoah!D38</f>
        <v>0</v>
      </c>
      <c r="E38" s="3">
        <f>+'Confed Life &amp; Annty (CLIAC)'!E38+'Fidelity Mutual'!E38+'First Capital'!E38+Midcontinent!E38+Settlers!E38+Shenandoah!E38</f>
        <v>2617.5257873168412</v>
      </c>
      <c r="F38" s="3">
        <f t="shared" ref="F38:F58" si="1">SUM(B38:E38)</f>
        <v>76712.707495008566</v>
      </c>
    </row>
    <row r="39" spans="1:6">
      <c r="A39" t="s">
        <v>33</v>
      </c>
      <c r="B39" s="3">
        <f>+'Confed Life &amp; Annty (CLIAC)'!B39+'Fidelity Mutual'!B39+'First Capital'!B39+Midcontinent!B39+Settlers!B39+Shenandoah!B39</f>
        <v>81341.286082543331</v>
      </c>
      <c r="C39" s="3">
        <f>+'Confed Life &amp; Annty (CLIAC)'!C39+'Fidelity Mutual'!C39+'First Capital'!C39+Midcontinent!C39+Settlers!C39+Shenandoah!C39</f>
        <v>52267.580898568172</v>
      </c>
      <c r="D39" s="3">
        <f>+'Confed Life &amp; Annty (CLIAC)'!D39+'Fidelity Mutual'!D39+'First Capital'!D39+Midcontinent!D39+Settlers!D39+Shenandoah!D39</f>
        <v>27663.615383477103</v>
      </c>
      <c r="E39" s="3">
        <f>+'Confed Life &amp; Annty (CLIAC)'!E39+'Fidelity Mutual'!E39+'First Capital'!E39+Midcontinent!E39+Settlers!E39+Shenandoah!E39</f>
        <v>3357.3052762419093</v>
      </c>
      <c r="F39" s="3">
        <f t="shared" si="1"/>
        <v>164629.7876408305</v>
      </c>
    </row>
    <row r="40" spans="1:6">
      <c r="A40" t="s">
        <v>34</v>
      </c>
      <c r="B40" s="3">
        <f>+'Confed Life &amp; Annty (CLIAC)'!B40+'Fidelity Mutual'!B40+'First Capital'!B40+Midcontinent!B40+Settlers!B40+Shenandoah!B40</f>
        <v>435.93266538811952</v>
      </c>
      <c r="C40" s="3">
        <f>+'Confed Life &amp; Annty (CLIAC)'!C40+'Fidelity Mutual'!C40+'First Capital'!C40+Midcontinent!C40+Settlers!C40+Shenandoah!C40</f>
        <v>0</v>
      </c>
      <c r="D40" s="3">
        <f>+'Confed Life &amp; Annty (CLIAC)'!D40+'Fidelity Mutual'!D40+'First Capital'!D40+Midcontinent!D40+Settlers!D40+Shenandoah!D40</f>
        <v>0</v>
      </c>
      <c r="E40" s="3">
        <f>+'Confed Life &amp; Annty (CLIAC)'!E40+'Fidelity Mutual'!E40+'First Capital'!E40+Midcontinent!E40+Settlers!E40+Shenandoah!E40</f>
        <v>0</v>
      </c>
      <c r="F40" s="3">
        <f t="shared" si="1"/>
        <v>435.93266538811952</v>
      </c>
    </row>
    <row r="41" spans="1:6">
      <c r="A41" t="s">
        <v>35</v>
      </c>
      <c r="B41" s="3">
        <f>+'Confed Life &amp; Annty (CLIAC)'!B41+'Fidelity Mutual'!B41+'First Capital'!B41+Midcontinent!B41+Settlers!B41+Shenandoah!B41</f>
        <v>62810.39232973654</v>
      </c>
      <c r="C41" s="3">
        <f>+'Confed Life &amp; Annty (CLIAC)'!C41+'Fidelity Mutual'!C41+'First Capital'!C41+Midcontinent!C41+Settlers!C41+Shenandoah!C41</f>
        <v>15166.229373195954</v>
      </c>
      <c r="D41" s="3">
        <f>+'Confed Life &amp; Annty (CLIAC)'!D41+'Fidelity Mutual'!D41+'First Capital'!D41+Midcontinent!D41+Settlers!D41+Shenandoah!D41</f>
        <v>11954.488808532711</v>
      </c>
      <c r="E41" s="3">
        <f>+'Confed Life &amp; Annty (CLIAC)'!E41+'Fidelity Mutual'!E41+'First Capital'!E41+Midcontinent!E41+Settlers!E41+Shenandoah!E41</f>
        <v>3688.7911674542352</v>
      </c>
      <c r="F41" s="3">
        <f t="shared" si="1"/>
        <v>93619.901678919443</v>
      </c>
    </row>
    <row r="42" spans="1:6">
      <c r="A42" t="s">
        <v>36</v>
      </c>
      <c r="B42" s="3">
        <f>+'Confed Life &amp; Annty (CLIAC)'!B42+'Fidelity Mutual'!B42+'First Capital'!B42+Midcontinent!B42+Settlers!B42+Shenandoah!B42</f>
        <v>48684.45854507653</v>
      </c>
      <c r="C42" s="3">
        <f>+'Confed Life &amp; Annty (CLIAC)'!C42+'Fidelity Mutual'!C42+'First Capital'!C42+Midcontinent!C42+Settlers!C42+Shenandoah!C42</f>
        <v>3869.455790197339</v>
      </c>
      <c r="D42" s="3">
        <f>+'Confed Life &amp; Annty (CLIAC)'!D42+'Fidelity Mutual'!D42+'First Capital'!D42+Midcontinent!D42+Settlers!D42+Shenandoah!D42</f>
        <v>2458.2197357109208</v>
      </c>
      <c r="E42" s="3">
        <f>+'Confed Life &amp; Annty (CLIAC)'!E42+'Fidelity Mutual'!E42+'First Capital'!E42+Midcontinent!E42+Settlers!E42+Shenandoah!E42</f>
        <v>0</v>
      </c>
      <c r="F42" s="3">
        <f t="shared" si="1"/>
        <v>55012.134070984786</v>
      </c>
    </row>
    <row r="43" spans="1:6">
      <c r="A43" t="s">
        <v>37</v>
      </c>
      <c r="B43" s="3">
        <f>+'Confed Life &amp; Annty (CLIAC)'!B43+'Fidelity Mutual'!B43+'First Capital'!B43+Midcontinent!B43+Settlers!B43+Shenandoah!B43</f>
        <v>4588.9259177137283</v>
      </c>
      <c r="C43" s="3">
        <f>+'Confed Life &amp; Annty (CLIAC)'!C43+'Fidelity Mutual'!C43+'First Capital'!C43+Midcontinent!C43+Settlers!C43+Shenandoah!C43</f>
        <v>75.696249717123806</v>
      </c>
      <c r="D43" s="3">
        <f>+'Confed Life &amp; Annty (CLIAC)'!D43+'Fidelity Mutual'!D43+'First Capital'!D43+Midcontinent!D43+Settlers!D43+Shenandoah!D43</f>
        <v>0.3953940376158796</v>
      </c>
      <c r="E43" s="3">
        <f>+'Confed Life &amp; Annty (CLIAC)'!E43+'Fidelity Mutual'!E43+'First Capital'!E43+Midcontinent!E43+Settlers!E43+Shenandoah!E43</f>
        <v>0</v>
      </c>
      <c r="F43" s="3">
        <f t="shared" si="1"/>
        <v>4665.0175614684676</v>
      </c>
    </row>
    <row r="44" spans="1:6">
      <c r="A44" t="s">
        <v>38</v>
      </c>
      <c r="B44" s="3">
        <f>+'Confed Life &amp; Annty (CLIAC)'!B44+'Fidelity Mutual'!B44+'First Capital'!B44+Midcontinent!B44+Settlers!B44+Shenandoah!B44</f>
        <v>233374.57380963882</v>
      </c>
      <c r="C44" s="3">
        <f>+'Confed Life &amp; Annty (CLIAC)'!C44+'Fidelity Mutual'!C44+'First Capital'!C44+Midcontinent!C44+Settlers!C44+Shenandoah!C44</f>
        <v>36053.992299989099</v>
      </c>
      <c r="D44" s="3">
        <f>+'Confed Life &amp; Annty (CLIAC)'!D44+'Fidelity Mutual'!D44+'First Capital'!D44+Midcontinent!D44+Settlers!D44+Shenandoah!D44</f>
        <v>11289.948256510652</v>
      </c>
      <c r="E44" s="3">
        <f>+'Confed Life &amp; Annty (CLIAC)'!E44+'Fidelity Mutual'!E44+'First Capital'!E44+Midcontinent!E44+Settlers!E44+Shenandoah!E44</f>
        <v>13400.923528888539</v>
      </c>
      <c r="F44" s="3">
        <f t="shared" si="1"/>
        <v>294119.43789502716</v>
      </c>
    </row>
    <row r="45" spans="1:6">
      <c r="A45" t="s">
        <v>39</v>
      </c>
      <c r="B45" s="3">
        <f>+'Confed Life &amp; Annty (CLIAC)'!B45+'Fidelity Mutual'!B45+'First Capital'!B45+Midcontinent!B45+Settlers!B45+Shenandoah!B45</f>
        <v>37.944486469419729</v>
      </c>
      <c r="C45" s="3">
        <f>+'Confed Life &amp; Annty (CLIAC)'!C45+'Fidelity Mutual'!C45+'First Capital'!C45+Midcontinent!C45+Settlers!C45+Shenandoah!C45</f>
        <v>0</v>
      </c>
      <c r="D45" s="3">
        <f>+'Confed Life &amp; Annty (CLIAC)'!D45+'Fidelity Mutual'!D45+'First Capital'!D45+Midcontinent!D45+Settlers!D45+Shenandoah!D45</f>
        <v>0</v>
      </c>
      <c r="E45" s="3">
        <f>+'Confed Life &amp; Annty (CLIAC)'!E45+'Fidelity Mutual'!E45+'First Capital'!E45+Midcontinent!E45+Settlers!E45+Shenandoah!E45</f>
        <v>0</v>
      </c>
      <c r="F45" s="3">
        <f t="shared" si="1"/>
        <v>37.944486469419729</v>
      </c>
    </row>
    <row r="46" spans="1:6">
      <c r="A46" t="s">
        <v>40</v>
      </c>
      <c r="B46" s="3">
        <f>+'Confed Life &amp; Annty (CLIAC)'!B46+'Fidelity Mutual'!B46+'First Capital'!B46+Midcontinent!B46+Settlers!B46+Shenandoah!B46</f>
        <v>9578.8821550447101</v>
      </c>
      <c r="C46" s="3">
        <f>+'Confed Life &amp; Annty (CLIAC)'!C46+'Fidelity Mutual'!C46+'First Capital'!C46+Midcontinent!C46+Settlers!C46+Shenandoah!C46</f>
        <v>227.09986082227195</v>
      </c>
      <c r="D46" s="3">
        <f>+'Confed Life &amp; Annty (CLIAC)'!D46+'Fidelity Mutual'!D46+'First Capital'!D46+Midcontinent!D46+Settlers!D46+Shenandoah!D46</f>
        <v>0</v>
      </c>
      <c r="E46" s="3">
        <f>+'Confed Life &amp; Annty (CLIAC)'!E46+'Fidelity Mutual'!E46+'First Capital'!E46+Midcontinent!E46+Settlers!E46+Shenandoah!E46</f>
        <v>0</v>
      </c>
      <c r="F46" s="3">
        <f t="shared" si="1"/>
        <v>9805.9820158669827</v>
      </c>
    </row>
    <row r="47" spans="1:6">
      <c r="A47" t="s">
        <v>41</v>
      </c>
      <c r="B47" s="3">
        <f>+'Confed Life &amp; Annty (CLIAC)'!B47+'Fidelity Mutual'!B47+'First Capital'!B47+Midcontinent!B47+Settlers!B47+Shenandoah!B47</f>
        <v>30279.054926625402</v>
      </c>
      <c r="C47" s="3">
        <f>+'Confed Life &amp; Annty (CLIAC)'!C47+'Fidelity Mutual'!C47+'First Capital'!C47+Midcontinent!C47+Settlers!C47+Shenandoah!C47</f>
        <v>10094.162282062696</v>
      </c>
      <c r="D47" s="3">
        <f>+'Confed Life &amp; Annty (CLIAC)'!D47+'Fidelity Mutual'!D47+'First Capital'!D47+Midcontinent!D47+Settlers!D47+Shenandoah!D47</f>
        <v>7996.0822177669552</v>
      </c>
      <c r="E47" s="3">
        <f>+'Confed Life &amp; Annty (CLIAC)'!E47+'Fidelity Mutual'!E47+'First Capital'!E47+Midcontinent!E47+Settlers!E47+Shenandoah!E47</f>
        <v>0</v>
      </c>
      <c r="F47" s="3">
        <f t="shared" si="1"/>
        <v>48369.299426455051</v>
      </c>
    </row>
    <row r="48" spans="1:6">
      <c r="A48" t="s">
        <v>42</v>
      </c>
      <c r="B48" s="3">
        <f>+'Confed Life &amp; Annty (CLIAC)'!B48+'Fidelity Mutual'!B48+'First Capital'!B48+Midcontinent!B48+Settlers!B48+Shenandoah!B48</f>
        <v>559.97895910662078</v>
      </c>
      <c r="C48" s="3">
        <f>+'Confed Life &amp; Annty (CLIAC)'!C48+'Fidelity Mutual'!C48+'First Capital'!C48+Midcontinent!C48+Settlers!C48+Shenandoah!C48</f>
        <v>2.3314616806651411</v>
      </c>
      <c r="D48" s="3">
        <f>+'Confed Life &amp; Annty (CLIAC)'!D48+'Fidelity Mutual'!D48+'First Capital'!D48+Midcontinent!D48+Settlers!D48+Shenandoah!D48</f>
        <v>0</v>
      </c>
      <c r="E48" s="3">
        <f>+'Confed Life &amp; Annty (CLIAC)'!E48+'Fidelity Mutual'!E48+'First Capital'!E48+Midcontinent!E48+Settlers!E48+Shenandoah!E48</f>
        <v>0</v>
      </c>
      <c r="F48" s="3">
        <f t="shared" si="1"/>
        <v>562.31042078728592</v>
      </c>
    </row>
    <row r="49" spans="1:6">
      <c r="A49" t="s">
        <v>43</v>
      </c>
      <c r="B49" s="3">
        <f>+'Confed Life &amp; Annty (CLIAC)'!B49+'Fidelity Mutual'!B49+'First Capital'!B49+Midcontinent!B49+Settlers!B49+Shenandoah!B49</f>
        <v>84250.044901999558</v>
      </c>
      <c r="C49" s="3">
        <f>+'Confed Life &amp; Annty (CLIAC)'!C49+'Fidelity Mutual'!C49+'First Capital'!C49+Midcontinent!C49+Settlers!C49+Shenandoah!C49</f>
        <v>18199.085312619445</v>
      </c>
      <c r="D49" s="3">
        <f>+'Confed Life &amp; Annty (CLIAC)'!D49+'Fidelity Mutual'!D49+'First Capital'!D49+Midcontinent!D49+Settlers!D49+Shenandoah!D49</f>
        <v>8240.3630911467735</v>
      </c>
      <c r="E49" s="3">
        <f>+'Confed Life &amp; Annty (CLIAC)'!E49+'Fidelity Mutual'!E49+'First Capital'!E49+Midcontinent!E49+Settlers!E49+Shenandoah!E49</f>
        <v>0</v>
      </c>
      <c r="F49" s="3">
        <f t="shared" si="1"/>
        <v>110689.49330576578</v>
      </c>
    </row>
    <row r="50" spans="1:6">
      <c r="A50" t="s">
        <v>44</v>
      </c>
      <c r="B50" s="3">
        <f>+'Confed Life &amp; Annty (CLIAC)'!B50+'Fidelity Mutual'!B50+'First Capital'!B50+Midcontinent!B50+Settlers!B50+Shenandoah!B50</f>
        <v>172167.3503624365</v>
      </c>
      <c r="C50" s="3">
        <f>+'Confed Life &amp; Annty (CLIAC)'!C50+'Fidelity Mutual'!C50+'First Capital'!C50+Midcontinent!C50+Settlers!C50+Shenandoah!C50</f>
        <v>14576.682939034739</v>
      </c>
      <c r="D50" s="3">
        <f>+'Confed Life &amp; Annty (CLIAC)'!D50+'Fidelity Mutual'!D50+'First Capital'!D50+Midcontinent!D50+Settlers!D50+Shenandoah!D50</f>
        <v>11330.208554547937</v>
      </c>
      <c r="E50" s="3">
        <f>+'Confed Life &amp; Annty (CLIAC)'!E50+'Fidelity Mutual'!E50+'First Capital'!E50+Midcontinent!E50+Settlers!E50+Shenandoah!E50</f>
        <v>0</v>
      </c>
      <c r="F50" s="3">
        <f t="shared" si="1"/>
        <v>198074.24185601919</v>
      </c>
    </row>
    <row r="51" spans="1:6">
      <c r="A51" t="s">
        <v>45</v>
      </c>
      <c r="B51" s="3">
        <f>+'Confed Life &amp; Annty (CLIAC)'!B51+'Fidelity Mutual'!B51+'First Capital'!B51+Midcontinent!B51+Settlers!B51+Shenandoah!B51</f>
        <v>2177.7225827834409</v>
      </c>
      <c r="C51" s="3">
        <f>+'Confed Life &amp; Annty (CLIAC)'!C51+'Fidelity Mutual'!C51+'First Capital'!C51+Midcontinent!C51+Settlers!C51+Shenandoah!C51</f>
        <v>27.160121411396972</v>
      </c>
      <c r="D51" s="3">
        <f>+'Confed Life &amp; Annty (CLIAC)'!D51+'Fidelity Mutual'!D51+'First Capital'!D51+Midcontinent!D51+Settlers!D51+Shenandoah!D51</f>
        <v>0</v>
      </c>
      <c r="E51" s="3">
        <f>+'Confed Life &amp; Annty (CLIAC)'!E51+'Fidelity Mutual'!E51+'First Capital'!E51+Midcontinent!E51+Settlers!E51+Shenandoah!E51</f>
        <v>0</v>
      </c>
      <c r="F51" s="3">
        <f t="shared" si="1"/>
        <v>2204.882704194838</v>
      </c>
    </row>
    <row r="52" spans="1:6">
      <c r="A52" t="s">
        <v>46</v>
      </c>
      <c r="B52" s="3">
        <f>+'Confed Life &amp; Annty (CLIAC)'!B52+'Fidelity Mutual'!B52+'First Capital'!B52+Midcontinent!B52+Settlers!B52+Shenandoah!B52</f>
        <v>1513.7560084705965</v>
      </c>
      <c r="C52" s="3">
        <f>+'Confed Life &amp; Annty (CLIAC)'!C52+'Fidelity Mutual'!C52+'First Capital'!C52+Midcontinent!C52+Settlers!C52+Shenandoah!C52</f>
        <v>5.8983870012251529</v>
      </c>
      <c r="D52" s="3">
        <f>+'Confed Life &amp; Annty (CLIAC)'!D52+'Fidelity Mutual'!D52+'First Capital'!D52+Midcontinent!D52+Settlers!D52+Shenandoah!D52</f>
        <v>0</v>
      </c>
      <c r="E52" s="3">
        <f>+'Confed Life &amp; Annty (CLIAC)'!E52+'Fidelity Mutual'!E52+'First Capital'!E52+Midcontinent!E52+Settlers!E52+Shenandoah!E52</f>
        <v>0</v>
      </c>
      <c r="F52" s="3">
        <f t="shared" si="1"/>
        <v>1519.6543954718215</v>
      </c>
    </row>
    <row r="53" spans="1:6">
      <c r="A53" t="s">
        <v>47</v>
      </c>
      <c r="B53" s="3">
        <f>+'Confed Life &amp; Annty (CLIAC)'!B53+'Fidelity Mutual'!B53+'First Capital'!B53+Midcontinent!B53+Settlers!B53+Shenandoah!B53</f>
        <v>138135.6347336086</v>
      </c>
      <c r="C53" s="3">
        <f>+'Confed Life &amp; Annty (CLIAC)'!C53+'Fidelity Mutual'!C53+'First Capital'!C53+Midcontinent!C53+Settlers!C53+Shenandoah!C53</f>
        <v>23287.613459180273</v>
      </c>
      <c r="D53" s="3">
        <f>+'Confed Life &amp; Annty (CLIAC)'!D53+'Fidelity Mutual'!D53+'First Capital'!D53+Midcontinent!D53+Settlers!D53+Shenandoah!D53</f>
        <v>34779.325613376197</v>
      </c>
      <c r="E53" s="3">
        <f>+'Confed Life &amp; Annty (CLIAC)'!E53+'Fidelity Mutual'!E53+'First Capital'!E53+Midcontinent!E53+Settlers!E53+Shenandoah!E53</f>
        <v>0</v>
      </c>
      <c r="F53" s="3">
        <f t="shared" si="1"/>
        <v>196202.57380616508</v>
      </c>
    </row>
    <row r="54" spans="1:6">
      <c r="A54" t="s">
        <v>48</v>
      </c>
      <c r="B54" s="3">
        <f>+'Confed Life &amp; Annty (CLIAC)'!B54+'Fidelity Mutual'!B54+'First Capital'!B54+Midcontinent!B54+Settlers!B54+Shenandoah!B54</f>
        <v>12272.93194926095</v>
      </c>
      <c r="C54" s="3">
        <f>+'Confed Life &amp; Annty (CLIAC)'!C54+'Fidelity Mutual'!C54+'First Capital'!C54+Midcontinent!C54+Settlers!C54+Shenandoah!C54</f>
        <v>3273.9939489457502</v>
      </c>
      <c r="D54" s="3">
        <f>+'Confed Life &amp; Annty (CLIAC)'!D54+'Fidelity Mutual'!D54+'First Capital'!D54+Midcontinent!D54+Settlers!D54+Shenandoah!D54</f>
        <v>0</v>
      </c>
      <c r="E54" s="3">
        <f>+'Confed Life &amp; Annty (CLIAC)'!E54+'Fidelity Mutual'!E54+'First Capital'!E54+Midcontinent!E54+Settlers!E54+Shenandoah!E54</f>
        <v>0</v>
      </c>
      <c r="F54" s="3">
        <f t="shared" si="1"/>
        <v>15546.9258982067</v>
      </c>
    </row>
    <row r="55" spans="1:6">
      <c r="A55" t="s">
        <v>49</v>
      </c>
      <c r="B55" s="3">
        <f>+'Confed Life &amp; Annty (CLIAC)'!B55+'Fidelity Mutual'!B55+'First Capital'!B55+Midcontinent!B55+Settlers!B55+Shenandoah!B55</f>
        <v>6325.5623557336039</v>
      </c>
      <c r="C55" s="3">
        <f>+'Confed Life &amp; Annty (CLIAC)'!C55+'Fidelity Mutual'!C55+'First Capital'!C55+Midcontinent!C55+Settlers!C55+Shenandoah!C55</f>
        <v>1374.3655127730101</v>
      </c>
      <c r="D55" s="3">
        <f>+'Confed Life &amp; Annty (CLIAC)'!D55+'Fidelity Mutual'!D55+'First Capital'!D55+Midcontinent!D55+Settlers!D55+Shenandoah!D55</f>
        <v>1266.080342049102</v>
      </c>
      <c r="E55" s="3">
        <f>+'Confed Life &amp; Annty (CLIAC)'!E55+'Fidelity Mutual'!E55+'First Capital'!E55+Midcontinent!E55+Settlers!E55+Shenandoah!E55</f>
        <v>0</v>
      </c>
      <c r="F55" s="3">
        <f t="shared" si="1"/>
        <v>8966.0082105557158</v>
      </c>
    </row>
    <row r="56" spans="1:6">
      <c r="A56" t="s">
        <v>50</v>
      </c>
      <c r="B56" s="3">
        <f>+'Confed Life &amp; Annty (CLIAC)'!B56+'Fidelity Mutual'!B56+'First Capital'!B56+Midcontinent!B56+Settlers!B56+Shenandoah!B56</f>
        <v>9625.3928843859176</v>
      </c>
      <c r="C56" s="3">
        <f>+'Confed Life &amp; Annty (CLIAC)'!C56+'Fidelity Mutual'!C56+'First Capital'!C56+Midcontinent!C56+Settlers!C56+Shenandoah!C56</f>
        <v>3188.5459079917382</v>
      </c>
      <c r="D56" s="3">
        <f>+'Confed Life &amp; Annty (CLIAC)'!D56+'Fidelity Mutual'!D56+'First Capital'!D56+Midcontinent!D56+Settlers!D56+Shenandoah!D56</f>
        <v>2474.7695040406297</v>
      </c>
      <c r="E56" s="3">
        <f>+'Confed Life &amp; Annty (CLIAC)'!E56+'Fidelity Mutual'!E56+'First Capital'!E56+Midcontinent!E56+Settlers!E56+Shenandoah!E56</f>
        <v>0</v>
      </c>
      <c r="F56" s="3">
        <f t="shared" si="1"/>
        <v>15288.708296418285</v>
      </c>
    </row>
    <row r="57" spans="1:6">
      <c r="A57" t="s">
        <v>51</v>
      </c>
      <c r="B57" s="3">
        <f>+'Confed Life &amp; Annty (CLIAC)'!B57+'Fidelity Mutual'!B57+'First Capital'!B57+Midcontinent!B57+Settlers!B57+Shenandoah!B57</f>
        <v>242.83650147907085</v>
      </c>
      <c r="C57" s="3">
        <f>+'Confed Life &amp; Annty (CLIAC)'!C57+'Fidelity Mutual'!C57+'First Capital'!C57+Midcontinent!C57+Settlers!C57+Shenandoah!C57</f>
        <v>21.061360956358811</v>
      </c>
      <c r="D57" s="3">
        <f>+'Confed Life &amp; Annty (CLIAC)'!D57+'Fidelity Mutual'!D57+'First Capital'!D57+Midcontinent!D57+Settlers!D57+Shenandoah!D57</f>
        <v>0</v>
      </c>
      <c r="E57" s="3">
        <f>+'Confed Life &amp; Annty (CLIAC)'!E57+'Fidelity Mutual'!E57+'First Capital'!E57+Midcontinent!E57+Settlers!E57+Shenandoah!E57</f>
        <v>0</v>
      </c>
      <c r="F57" s="3">
        <f t="shared" si="1"/>
        <v>263.89786243542966</v>
      </c>
    </row>
    <row r="58" spans="1:6">
      <c r="A58" t="s">
        <v>52</v>
      </c>
      <c r="B58" s="3">
        <f>+'Confed Life &amp; Annty (CLIAC)'!B58+'Fidelity Mutual'!B58+'First Capital'!B58+Midcontinent!B58+Settlers!B58+Shenandoah!B58</f>
        <v>0</v>
      </c>
      <c r="C58" s="3">
        <f>+'Confed Life &amp; Annty (CLIAC)'!C58+'Fidelity Mutual'!C58+'First Capital'!C58+Midcontinent!C58+Settlers!C58+Shenandoah!C58</f>
        <v>0</v>
      </c>
      <c r="D58" s="3">
        <f>+'Confed Life &amp; Annty (CLIAC)'!D58+'Fidelity Mutual'!D58+'First Capital'!D58+Midcontinent!D58+Settlers!D58+Shenandoah!D58</f>
        <v>0</v>
      </c>
      <c r="E58" s="3">
        <f>+'Confed Life &amp; Annty (CLIAC)'!E58+'Fidelity Mutual'!E58+'First Capital'!E58+Midcontinent!E58+Settlers!E58+Shenandoah!E58</f>
        <v>0</v>
      </c>
      <c r="F58" s="3">
        <f t="shared" si="1"/>
        <v>0</v>
      </c>
    </row>
    <row r="59" spans="1:6">
      <c r="B59" s="3"/>
      <c r="C59" s="3"/>
      <c r="D59" s="3"/>
      <c r="E59" s="3"/>
      <c r="F59" s="3"/>
    </row>
    <row r="60" spans="1:6">
      <c r="A60" t="s">
        <v>59</v>
      </c>
      <c r="B60" s="3">
        <f t="shared" ref="B60:F60" si="2">SUM(B6:B58)</f>
        <v>1875572.199670329</v>
      </c>
      <c r="C60" s="3">
        <f t="shared" si="2"/>
        <v>306091.33511245198</v>
      </c>
      <c r="D60" s="3">
        <f t="shared" si="2"/>
        <v>178328.0499641205</v>
      </c>
      <c r="E60" s="3">
        <f t="shared" si="2"/>
        <v>27990.345253099316</v>
      </c>
      <c r="F60" s="3">
        <f t="shared" si="2"/>
        <v>2387981.9300000002</v>
      </c>
    </row>
    <row r="62" spans="1:6">
      <c r="A62" s="139" t="s">
        <v>167</v>
      </c>
      <c r="B62" s="139"/>
      <c r="C62" s="139"/>
      <c r="D62" s="139"/>
      <c r="E62" s="139"/>
      <c r="F62" s="139"/>
    </row>
    <row r="63" spans="1:6">
      <c r="A63" t="s">
        <v>379</v>
      </c>
      <c r="B63" s="139" t="s">
        <v>216</v>
      </c>
      <c r="C63" s="139"/>
      <c r="D63" s="139"/>
      <c r="E63" s="139"/>
      <c r="F63" s="139"/>
    </row>
    <row r="65" spans="1:6">
      <c r="A65" t="s">
        <v>59</v>
      </c>
      <c r="B65" s="3">
        <f>SUM(B60:B64)</f>
        <v>1875572.199670329</v>
      </c>
      <c r="C65" s="3">
        <f>SUM(C60:C64)</f>
        <v>306091.33511245198</v>
      </c>
      <c r="D65" s="3">
        <f>SUM(D60:D64)</f>
        <v>178328.0499641205</v>
      </c>
      <c r="E65" s="3">
        <f>SUM(E60:E64)</f>
        <v>27990.345253099316</v>
      </c>
      <c r="F65" s="3">
        <f>SUM(F60:F64)</f>
        <v>2387981.9300000002</v>
      </c>
    </row>
    <row r="69" spans="1:6">
      <c r="A69" t="s">
        <v>181</v>
      </c>
      <c r="B69" s="3">
        <f>+Summary!H110</f>
        <v>1875572.1996703283</v>
      </c>
      <c r="C69" s="3">
        <f>+Summary!I110</f>
        <v>306091.33511245198</v>
      </c>
      <c r="D69" s="3">
        <f>+Summary!J110</f>
        <v>178328.0499641205</v>
      </c>
      <c r="E69" s="3">
        <f>+Summary!K110</f>
        <v>27990.345253099316</v>
      </c>
      <c r="F69" s="3">
        <f>+Summary!L110</f>
        <v>2387981.9300000002</v>
      </c>
    </row>
    <row r="70" spans="1:6">
      <c r="B70" s="3">
        <f>+B65-B69</f>
        <v>0</v>
      </c>
      <c r="C70" s="3">
        <f>+C65-C69</f>
        <v>0</v>
      </c>
      <c r="D70" s="3">
        <f>+D65-D69</f>
        <v>0</v>
      </c>
      <c r="E70" s="3">
        <f>+E65-E69</f>
        <v>0</v>
      </c>
      <c r="F70" s="3">
        <f>+F65-F69</f>
        <v>0</v>
      </c>
    </row>
  </sheetData>
  <mergeCells count="3">
    <mergeCell ref="A62:F62"/>
    <mergeCell ref="B63:F63"/>
    <mergeCell ref="A1:F1"/>
  </mergeCells>
  <printOptions horizontalCentered="1" verticalCentered="1"/>
  <pageMargins left="0.25" right="0.25" top="0.75" bottom="0.75" header="0.4" footer="0.4"/>
  <pageSetup scale="51" orientation="landscape" r:id="rId1"/>
  <headerFooter>
    <oddHeader>&amp;L&amp;"Geneva,Bold"&amp;D 
&amp;F &amp;C&amp;"Geneva,Bold Italic"Released from Oversight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9" width="14.7109375" customWidth="1"/>
    <col min="10" max="10" width="1.7109375" customWidth="1"/>
    <col min="11" max="12" width="14.7109375" customWidth="1"/>
    <col min="13" max="13" width="1.7109375" customWidth="1"/>
    <col min="14" max="15" width="14.7109375" customWidth="1"/>
    <col min="16" max="16" width="1.7109375" customWidth="1"/>
    <col min="17" max="18" width="14.7109375" customWidth="1"/>
  </cols>
  <sheetData>
    <row r="1" spans="1:18">
      <c r="A1" s="138" t="s">
        <v>388</v>
      </c>
      <c r="B1" s="139"/>
      <c r="C1" s="139"/>
      <c r="D1" s="139"/>
      <c r="E1" s="139"/>
      <c r="F1" s="139"/>
    </row>
    <row r="2" spans="1:18" ht="15.75" thickBot="1"/>
    <row r="3" spans="1:18">
      <c r="B3" s="140" t="s">
        <v>54</v>
      </c>
      <c r="C3" s="141"/>
      <c r="D3" s="141"/>
      <c r="E3" s="141"/>
      <c r="F3" s="142"/>
      <c r="H3" s="140" t="s">
        <v>62</v>
      </c>
      <c r="I3" s="141"/>
      <c r="J3" s="141"/>
      <c r="K3" s="141"/>
      <c r="L3" s="141"/>
      <c r="M3" s="141"/>
      <c r="N3" s="141"/>
      <c r="O3" s="141"/>
      <c r="P3" s="141"/>
      <c r="Q3" s="141"/>
      <c r="R3" s="142"/>
    </row>
    <row r="4" spans="1:18">
      <c r="B4" s="8"/>
      <c r="C4" s="5"/>
      <c r="D4" s="5"/>
      <c r="E4" s="5"/>
      <c r="F4" s="15"/>
      <c r="H4" s="143" t="s">
        <v>55</v>
      </c>
      <c r="I4" s="144"/>
      <c r="J4" s="5"/>
      <c r="K4" s="145" t="s">
        <v>56</v>
      </c>
      <c r="L4" s="144"/>
      <c r="M4" s="5"/>
      <c r="N4" s="145" t="s">
        <v>57</v>
      </c>
      <c r="O4" s="144"/>
      <c r="P4" s="5"/>
      <c r="Q4" s="145" t="s">
        <v>58</v>
      </c>
      <c r="R4" s="146"/>
    </row>
    <row r="5" spans="1:18" ht="57" customHeight="1">
      <c r="B5" s="9" t="s">
        <v>55</v>
      </c>
      <c r="C5" s="6" t="s">
        <v>56</v>
      </c>
      <c r="D5" s="6" t="s">
        <v>57</v>
      </c>
      <c r="E5" s="6" t="s">
        <v>58</v>
      </c>
      <c r="F5" s="16" t="s">
        <v>59</v>
      </c>
      <c r="H5" s="20" t="s">
        <v>60</v>
      </c>
      <c r="I5" s="19" t="s">
        <v>61</v>
      </c>
      <c r="J5" s="19"/>
      <c r="K5" s="19" t="s">
        <v>60</v>
      </c>
      <c r="L5" s="19" t="s">
        <v>61</v>
      </c>
      <c r="M5" s="19"/>
      <c r="N5" s="19" t="s">
        <v>60</v>
      </c>
      <c r="O5" s="19" t="s">
        <v>61</v>
      </c>
      <c r="P5" s="19"/>
      <c r="Q5" s="19" t="s">
        <v>60</v>
      </c>
      <c r="R5" s="21" t="s">
        <v>61</v>
      </c>
    </row>
    <row r="6" spans="1:18">
      <c r="A6" t="s">
        <v>0</v>
      </c>
      <c r="B6" s="10">
        <f>+'Pre-Liquidation Summary'!B6+'Open Summary'!B6+'Closed Summary'!B6+'Estate Closed Summary'!B6+'Released from Oversight Summary'!B6</f>
        <v>48393336.658476844</v>
      </c>
      <c r="C6" s="7">
        <f>+'Pre-Liquidation Summary'!C6+'Open Summary'!C6+'Closed Summary'!C6+'Estate Closed Summary'!C6+'Released from Oversight Summary'!C6</f>
        <v>31863197.85082975</v>
      </c>
      <c r="D6" s="7">
        <f>+'Pre-Liquidation Summary'!D6+'Open Summary'!D6+'Closed Summary'!D6+'Estate Closed Summary'!D6+'Released from Oversight Summary'!D6</f>
        <v>8894769.2794900388</v>
      </c>
      <c r="E6" s="7">
        <f>+'Pre-Liquidation Summary'!E6+'Open Summary'!E6+'Closed Summary'!E6+'Estate Closed Summary'!E6+'Released from Oversight Summary'!E6</f>
        <v>0</v>
      </c>
      <c r="F6" s="17">
        <f t="shared" ref="F6:F37" si="0">SUM(B6:E6)</f>
        <v>89151303.788796633</v>
      </c>
      <c r="G6" s="3"/>
      <c r="H6" s="10">
        <f>SUM('Alabama Life:Villanova'!K6)</f>
        <v>22368855</v>
      </c>
      <c r="I6" s="7">
        <f>SUM('Alabama Life:Villanova'!L6)</f>
        <v>0</v>
      </c>
      <c r="J6" s="7"/>
      <c r="K6" s="7">
        <f>SUM('Alabama Life:Villanova'!N6)</f>
        <v>33937732</v>
      </c>
      <c r="L6" s="7">
        <f>SUM('Alabama Life:Villanova'!O6)</f>
        <v>0</v>
      </c>
      <c r="M6" s="7"/>
      <c r="N6" s="7">
        <f>SUM('Alabama Life:Villanova'!Q6)</f>
        <v>2060000</v>
      </c>
      <c r="O6" s="7">
        <f>SUM('Alabama Life:Villanova'!R6)</f>
        <v>0</v>
      </c>
      <c r="P6" s="7"/>
      <c r="Q6" s="7">
        <f>SUM('Alabama Life:Villanova'!T6)</f>
        <v>0</v>
      </c>
      <c r="R6" s="17">
        <f>SUM('Alabama Life:Villanova'!U6)</f>
        <v>0</v>
      </c>
    </row>
    <row r="7" spans="1:18">
      <c r="A7" t="s">
        <v>1</v>
      </c>
      <c r="B7" s="10">
        <f>+'Pre-Liquidation Summary'!B7+'Open Summary'!B7+'Closed Summary'!B7+'Estate Closed Summary'!B7+'Released from Oversight Summary'!B7</f>
        <v>688439.11738609965</v>
      </c>
      <c r="C7" s="7">
        <f>+'Pre-Liquidation Summary'!C7+'Open Summary'!C7+'Closed Summary'!C7+'Estate Closed Summary'!C7+'Released from Oversight Summary'!C7</f>
        <v>6085404.9050941225</v>
      </c>
      <c r="D7" s="7">
        <f>+'Pre-Liquidation Summary'!D7+'Open Summary'!D7+'Closed Summary'!D7+'Estate Closed Summary'!D7+'Released from Oversight Summary'!D7</f>
        <v>692858.17971593607</v>
      </c>
      <c r="E7" s="7">
        <f>+'Pre-Liquidation Summary'!E7+'Open Summary'!E7+'Closed Summary'!E7+'Estate Closed Summary'!E7+'Released from Oversight Summary'!E7</f>
        <v>-511.67261149390833</v>
      </c>
      <c r="F7" s="17">
        <f t="shared" si="0"/>
        <v>7466190.5295846649</v>
      </c>
      <c r="G7" s="3"/>
      <c r="H7" s="10">
        <f>SUM('Alabama Life:Villanova'!K7)</f>
        <v>2063342</v>
      </c>
      <c r="I7" s="7">
        <f>SUM('Alabama Life:Villanova'!L7)</f>
        <v>454500</v>
      </c>
      <c r="J7" s="7"/>
      <c r="K7" s="7">
        <f>SUM('Alabama Life:Villanova'!N7)</f>
        <v>5597169</v>
      </c>
      <c r="L7" s="7">
        <f>SUM('Alabama Life:Villanova'!O7)</f>
        <v>333181</v>
      </c>
      <c r="M7" s="7"/>
      <c r="N7" s="7">
        <f>SUM('Alabama Life:Villanova'!Q7)</f>
        <v>253415</v>
      </c>
      <c r="O7" s="7">
        <f>SUM('Alabama Life:Villanova'!R7)</f>
        <v>56000</v>
      </c>
      <c r="P7" s="7"/>
      <c r="Q7" s="7">
        <f>SUM('Alabama Life:Villanova'!T7)</f>
        <v>2428923</v>
      </c>
      <c r="R7" s="17">
        <f>SUM('Alabama Life:Villanova'!U7)</f>
        <v>29</v>
      </c>
    </row>
    <row r="8" spans="1:18">
      <c r="A8" t="s">
        <v>2</v>
      </c>
      <c r="B8" s="10">
        <f>+'Pre-Liquidation Summary'!B8+'Open Summary'!B8+'Closed Summary'!B8+'Estate Closed Summary'!B8+'Released from Oversight Summary'!B8</f>
        <v>26198128.007154312</v>
      </c>
      <c r="C8" s="7">
        <f>+'Pre-Liquidation Summary'!C8+'Open Summary'!C8+'Closed Summary'!C8+'Estate Closed Summary'!C8+'Released from Oversight Summary'!C8</f>
        <v>41990160.290098831</v>
      </c>
      <c r="D8" s="7">
        <f>+'Pre-Liquidation Summary'!D8+'Open Summary'!D8+'Closed Summary'!D8+'Estate Closed Summary'!D8+'Released from Oversight Summary'!D8</f>
        <v>103244121.13599531</v>
      </c>
      <c r="E8" s="7">
        <f>+'Pre-Liquidation Summary'!E8+'Open Summary'!E8+'Closed Summary'!E8+'Estate Closed Summary'!E8+'Released from Oversight Summary'!E8</f>
        <v>0</v>
      </c>
      <c r="F8" s="17">
        <f t="shared" si="0"/>
        <v>171432409.43324846</v>
      </c>
      <c r="G8" s="3"/>
      <c r="H8" s="10">
        <f>SUM('Alabama Life:Villanova'!K8)</f>
        <v>38214894</v>
      </c>
      <c r="I8" s="7">
        <f>SUM('Alabama Life:Villanova'!L8)</f>
        <v>0</v>
      </c>
      <c r="J8" s="7"/>
      <c r="K8" s="7">
        <f>SUM('Alabama Life:Villanova'!N8)</f>
        <v>38206946</v>
      </c>
      <c r="L8" s="7">
        <f>SUM('Alabama Life:Villanova'!O8)</f>
        <v>0</v>
      </c>
      <c r="M8" s="7"/>
      <c r="N8" s="7">
        <f>SUM('Alabama Life:Villanova'!Q8)</f>
        <v>13235267</v>
      </c>
      <c r="O8" s="7">
        <f>SUM('Alabama Life:Villanova'!R8)</f>
        <v>0</v>
      </c>
      <c r="P8" s="7"/>
      <c r="Q8" s="7">
        <f>SUM('Alabama Life:Villanova'!T8)</f>
        <v>0</v>
      </c>
      <c r="R8" s="17">
        <f>SUM('Alabama Life:Villanova'!U8)</f>
        <v>0</v>
      </c>
    </row>
    <row r="9" spans="1:18">
      <c r="A9" t="s">
        <v>3</v>
      </c>
      <c r="B9" s="10">
        <f>+'Pre-Liquidation Summary'!B9+'Open Summary'!B9+'Closed Summary'!B9+'Estate Closed Summary'!B9+'Released from Oversight Summary'!B9</f>
        <v>16602961.867942078</v>
      </c>
      <c r="C9" s="7">
        <f>+'Pre-Liquidation Summary'!C9+'Open Summary'!C9+'Closed Summary'!C9+'Estate Closed Summary'!C9+'Released from Oversight Summary'!C9</f>
        <v>12104885.546978548</v>
      </c>
      <c r="D9" s="7">
        <f>+'Pre-Liquidation Summary'!D9+'Open Summary'!D9+'Closed Summary'!D9+'Estate Closed Summary'!D9+'Released from Oversight Summary'!D9</f>
        <v>8271837.271945578</v>
      </c>
      <c r="E9" s="7">
        <f>+'Pre-Liquidation Summary'!E9+'Open Summary'!E9+'Closed Summary'!E9+'Estate Closed Summary'!E9+'Released from Oversight Summary'!E9</f>
        <v>52262.413601900793</v>
      </c>
      <c r="F9" s="17">
        <f t="shared" si="0"/>
        <v>37031947.100468107</v>
      </c>
      <c r="G9" s="3"/>
      <c r="H9" s="10">
        <f>SUM('Alabama Life:Villanova'!K9)</f>
        <v>25621978</v>
      </c>
      <c r="I9" s="7">
        <f>SUM('Alabama Life:Villanova'!L9)</f>
        <v>0</v>
      </c>
      <c r="J9" s="7"/>
      <c r="K9" s="7">
        <f>SUM('Alabama Life:Villanova'!N9)</f>
        <v>0</v>
      </c>
      <c r="L9" s="7">
        <f>SUM('Alabama Life:Villanova'!O9)</f>
        <v>0</v>
      </c>
      <c r="M9" s="7"/>
      <c r="N9" s="7">
        <f>SUM('Alabama Life:Villanova'!Q9)</f>
        <v>9736334</v>
      </c>
      <c r="O9" s="7">
        <f>SUM('Alabama Life:Villanova'!R9)</f>
        <v>0</v>
      </c>
      <c r="P9" s="7"/>
      <c r="Q9" s="7">
        <f>SUM('Alabama Life:Villanova'!T9)</f>
        <v>0</v>
      </c>
      <c r="R9" s="17">
        <f>SUM('Alabama Life:Villanova'!U9)</f>
        <v>0</v>
      </c>
    </row>
    <row r="10" spans="1:18">
      <c r="A10" t="s">
        <v>4</v>
      </c>
      <c r="B10" s="10">
        <f>+'Pre-Liquidation Summary'!B10+'Open Summary'!B10+'Closed Summary'!B10+'Estate Closed Summary'!B10+'Released from Oversight Summary'!B10</f>
        <v>302195359.7643708</v>
      </c>
      <c r="C10" s="7">
        <f>+'Pre-Liquidation Summary'!C10+'Open Summary'!C10+'Closed Summary'!C10+'Estate Closed Summary'!C10+'Released from Oversight Summary'!C10</f>
        <v>496795639.9374724</v>
      </c>
      <c r="D10" s="7">
        <f>+'Pre-Liquidation Summary'!D10+'Open Summary'!D10+'Closed Summary'!D10+'Estate Closed Summary'!D10+'Released from Oversight Summary'!D10</f>
        <v>383735803.60708988</v>
      </c>
      <c r="E10" s="7">
        <f>+'Pre-Liquidation Summary'!E10+'Open Summary'!E10+'Closed Summary'!E10+'Estate Closed Summary'!E10+'Released from Oversight Summary'!E10</f>
        <v>0</v>
      </c>
      <c r="F10" s="17">
        <f t="shared" si="0"/>
        <v>1182726803.3089333</v>
      </c>
      <c r="G10" s="3"/>
      <c r="H10" s="10">
        <f>SUM('Alabama Life:Villanova'!K10)</f>
        <v>288656930</v>
      </c>
      <c r="I10" s="7">
        <f>SUM('Alabama Life:Villanova'!L10)</f>
        <v>41665000</v>
      </c>
      <c r="J10" s="7"/>
      <c r="K10" s="7">
        <f>SUM('Alabama Life:Villanova'!N10)</f>
        <v>408728212</v>
      </c>
      <c r="L10" s="7">
        <f>SUM('Alabama Life:Villanova'!O10)</f>
        <v>23273000</v>
      </c>
      <c r="M10" s="7"/>
      <c r="N10" s="7">
        <f>SUM('Alabama Life:Villanova'!Q10)</f>
        <v>20293800</v>
      </c>
      <c r="O10" s="7">
        <f>SUM('Alabama Life:Villanova'!R10)</f>
        <v>11275000</v>
      </c>
      <c r="P10" s="7"/>
      <c r="Q10" s="7">
        <f>SUM('Alabama Life:Villanova'!T10)</f>
        <v>0</v>
      </c>
      <c r="R10" s="17">
        <f>SUM('Alabama Life:Villanova'!U10)</f>
        <v>0</v>
      </c>
    </row>
    <row r="11" spans="1:18">
      <c r="A11" t="s">
        <v>5</v>
      </c>
      <c r="B11" s="10">
        <f>+'Pre-Liquidation Summary'!B11+'Open Summary'!B11+'Closed Summary'!B11+'Estate Closed Summary'!B11+'Released from Oversight Summary'!B11</f>
        <v>985106.42923079862</v>
      </c>
      <c r="C11" s="7">
        <f>+'Pre-Liquidation Summary'!C11+'Open Summary'!C11+'Closed Summary'!C11+'Estate Closed Summary'!C11+'Released from Oversight Summary'!C11</f>
        <v>10201012.835466344</v>
      </c>
      <c r="D11" s="7">
        <f>+'Pre-Liquidation Summary'!D11+'Open Summary'!D11+'Closed Summary'!D11+'Estate Closed Summary'!D11+'Released from Oversight Summary'!D11</f>
        <v>56495499.327308811</v>
      </c>
      <c r="E11" s="7">
        <f>+'Pre-Liquidation Summary'!E11+'Open Summary'!E11+'Closed Summary'!E11+'Estate Closed Summary'!E11+'Released from Oversight Summary'!E11</f>
        <v>0</v>
      </c>
      <c r="F11" s="17">
        <f t="shared" si="0"/>
        <v>67681618.592005953</v>
      </c>
      <c r="G11" s="3"/>
      <c r="H11" s="10">
        <f>SUM('Alabama Life:Villanova'!K11)</f>
        <v>9594556</v>
      </c>
      <c r="I11" s="7">
        <f>SUM('Alabama Life:Villanova'!L11)</f>
        <v>18410470</v>
      </c>
      <c r="J11" s="7"/>
      <c r="K11" s="7">
        <f>SUM('Alabama Life:Villanova'!N11)</f>
        <v>19018248</v>
      </c>
      <c r="L11" s="7">
        <f>SUM('Alabama Life:Villanova'!O11)</f>
        <v>39239670</v>
      </c>
      <c r="M11" s="7"/>
      <c r="N11" s="7">
        <f>SUM('Alabama Life:Villanova'!Q11)</f>
        <v>11878366</v>
      </c>
      <c r="O11" s="7">
        <f>SUM('Alabama Life:Villanova'!R11)</f>
        <v>5532143</v>
      </c>
      <c r="P11" s="7"/>
      <c r="Q11" s="7">
        <f>SUM('Alabama Life:Villanova'!T11)</f>
        <v>0</v>
      </c>
      <c r="R11" s="17">
        <f>SUM('Alabama Life:Villanova'!U11)</f>
        <v>0</v>
      </c>
    </row>
    <row r="12" spans="1:18">
      <c r="A12" t="s">
        <v>6</v>
      </c>
      <c r="B12" s="10">
        <f>+'Pre-Liquidation Summary'!B12+'Open Summary'!B12+'Closed Summary'!B12+'Estate Closed Summary'!B12+'Released from Oversight Summary'!B12</f>
        <v>-704.26236095130844</v>
      </c>
      <c r="C12" s="7">
        <f>+'Pre-Liquidation Summary'!C12+'Open Summary'!C12+'Closed Summary'!C12+'Estate Closed Summary'!C12+'Released from Oversight Summary'!C12</f>
        <v>25290534.948357474</v>
      </c>
      <c r="D12" s="7">
        <f>+'Pre-Liquidation Summary'!D12+'Open Summary'!D12+'Closed Summary'!D12+'Estate Closed Summary'!D12+'Released from Oversight Summary'!D12</f>
        <v>27027784.550513599</v>
      </c>
      <c r="E12" s="7">
        <f>+'Pre-Liquidation Summary'!E12+'Open Summary'!E12+'Closed Summary'!E12+'Estate Closed Summary'!E12+'Released from Oversight Summary'!E12</f>
        <v>-1107.162412145206</v>
      </c>
      <c r="F12" s="17">
        <f t="shared" si="0"/>
        <v>52316508.074097976</v>
      </c>
      <c r="G12" s="3"/>
      <c r="H12" s="10">
        <f>SUM('Alabama Life:Villanova'!K12)</f>
        <v>4732230</v>
      </c>
      <c r="I12" s="7">
        <f>SUM('Alabama Life:Villanova'!L12)</f>
        <v>4154158</v>
      </c>
      <c r="J12" s="7"/>
      <c r="K12" s="7">
        <f>SUM('Alabama Life:Villanova'!N12)</f>
        <v>3712000</v>
      </c>
      <c r="L12" s="7">
        <f>SUM('Alabama Life:Villanova'!O12)</f>
        <v>3421902</v>
      </c>
      <c r="M12" s="7"/>
      <c r="N12" s="7">
        <f>SUM('Alabama Life:Villanova'!Q12)</f>
        <v>0</v>
      </c>
      <c r="O12" s="7">
        <f>SUM('Alabama Life:Villanova'!R12)</f>
        <v>0</v>
      </c>
      <c r="P12" s="7"/>
      <c r="Q12" s="7">
        <f>SUM('Alabama Life:Villanova'!T12)</f>
        <v>1445000</v>
      </c>
      <c r="R12" s="17">
        <f>SUM('Alabama Life:Villanova'!U12)</f>
        <v>1444994</v>
      </c>
    </row>
    <row r="13" spans="1:18">
      <c r="A13" t="s">
        <v>7</v>
      </c>
      <c r="B13" s="10">
        <f>+'Pre-Liquidation Summary'!B13+'Open Summary'!B13+'Closed Summary'!B13+'Estate Closed Summary'!B13+'Released from Oversight Summary'!B13</f>
        <v>4862688.729521798</v>
      </c>
      <c r="C13" s="7">
        <f>+'Pre-Liquidation Summary'!C13+'Open Summary'!C13+'Closed Summary'!C13+'Estate Closed Summary'!C13+'Released from Oversight Summary'!C13</f>
        <v>18711289.465294115</v>
      </c>
      <c r="D13" s="7">
        <f>+'Pre-Liquidation Summary'!D13+'Open Summary'!D13+'Closed Summary'!D13+'Estate Closed Summary'!D13+'Released from Oversight Summary'!D13</f>
        <v>4286502.551529767</v>
      </c>
      <c r="E13" s="7">
        <f>+'Pre-Liquidation Summary'!E13+'Open Summary'!E13+'Closed Summary'!E13+'Estate Closed Summary'!E13+'Released from Oversight Summary'!E13</f>
        <v>333622.91774173488</v>
      </c>
      <c r="F13" s="17">
        <f t="shared" si="0"/>
        <v>28194103.664087411</v>
      </c>
      <c r="G13" s="3"/>
      <c r="H13" s="10">
        <f>SUM('Alabama Life:Villanova'!K13)</f>
        <v>7876303</v>
      </c>
      <c r="I13" s="7">
        <f>SUM('Alabama Life:Villanova'!L13)</f>
        <v>0</v>
      </c>
      <c r="J13" s="7"/>
      <c r="K13" s="7">
        <f>SUM('Alabama Life:Villanova'!N13)</f>
        <v>16525910</v>
      </c>
      <c r="L13" s="7">
        <f>SUM('Alabama Life:Villanova'!O13)</f>
        <v>0</v>
      </c>
      <c r="M13" s="7"/>
      <c r="N13" s="7">
        <f>SUM('Alabama Life:Villanova'!Q13)</f>
        <v>2435000</v>
      </c>
      <c r="O13" s="7">
        <f>SUM('Alabama Life:Villanova'!R13)</f>
        <v>0</v>
      </c>
      <c r="P13" s="7"/>
      <c r="Q13" s="7">
        <f>SUM('Alabama Life:Villanova'!T13)</f>
        <v>984787</v>
      </c>
      <c r="R13" s="17">
        <f>SUM('Alabama Life:Villanova'!U13)</f>
        <v>0</v>
      </c>
    </row>
    <row r="14" spans="1:18">
      <c r="A14" t="s">
        <v>8</v>
      </c>
      <c r="B14" s="10">
        <f>+'Pre-Liquidation Summary'!B14+'Open Summary'!B14+'Closed Summary'!B14+'Estate Closed Summary'!B14+'Released from Oversight Summary'!B14</f>
        <v>113712.64943826366</v>
      </c>
      <c r="C14" s="7">
        <f>+'Pre-Liquidation Summary'!C14+'Open Summary'!C14+'Closed Summary'!C14+'Estate Closed Summary'!C14+'Released from Oversight Summary'!C14</f>
        <v>308496.58977257123</v>
      </c>
      <c r="D14" s="7">
        <f>+'Pre-Liquidation Summary'!D14+'Open Summary'!D14+'Closed Summary'!D14+'Estate Closed Summary'!D14+'Released from Oversight Summary'!D14</f>
        <v>14948.492230743048</v>
      </c>
      <c r="E14" s="7">
        <f>+'Pre-Liquidation Summary'!E14+'Open Summary'!E14+'Closed Summary'!E14+'Estate Closed Summary'!E14+'Released from Oversight Summary'!E14</f>
        <v>0</v>
      </c>
      <c r="F14" s="17">
        <f t="shared" si="0"/>
        <v>437157.73144157795</v>
      </c>
      <c r="G14" s="3"/>
      <c r="H14" s="10">
        <f>SUM('Alabama Life:Villanova'!K14)</f>
        <v>584826</v>
      </c>
      <c r="I14" s="7">
        <f>SUM('Alabama Life:Villanova'!L14)</f>
        <v>512527</v>
      </c>
      <c r="J14" s="7"/>
      <c r="K14" s="7">
        <f>SUM('Alabama Life:Villanova'!N14)</f>
        <v>1754248</v>
      </c>
      <c r="L14" s="7">
        <f>SUM('Alabama Life:Villanova'!O14)</f>
        <v>1539695</v>
      </c>
      <c r="M14" s="7"/>
      <c r="N14" s="7">
        <f>SUM('Alabama Life:Villanova'!Q14)</f>
        <v>630000</v>
      </c>
      <c r="O14" s="7">
        <f>SUM('Alabama Life:Villanova'!R14)</f>
        <v>259707</v>
      </c>
      <c r="P14" s="7"/>
      <c r="Q14" s="7">
        <f>SUM('Alabama Life:Villanova'!T14)</f>
        <v>0</v>
      </c>
      <c r="R14" s="17">
        <f>SUM('Alabama Life:Villanova'!U14)</f>
        <v>0</v>
      </c>
    </row>
    <row r="15" spans="1:18">
      <c r="A15" t="s">
        <v>9</v>
      </c>
      <c r="B15" s="10">
        <f>+'Pre-Liquidation Summary'!B15+'Open Summary'!B15+'Closed Summary'!B15+'Estate Closed Summary'!B15+'Released from Oversight Summary'!B15</f>
        <v>117307795.68341768</v>
      </c>
      <c r="C15" s="7">
        <f>+'Pre-Liquidation Summary'!C15+'Open Summary'!C15+'Closed Summary'!C15+'Estate Closed Summary'!C15+'Released from Oversight Summary'!C15</f>
        <v>206719999.07245463</v>
      </c>
      <c r="D15" s="7">
        <f>+'Pre-Liquidation Summary'!D15+'Open Summary'!D15+'Closed Summary'!D15+'Estate Closed Summary'!D15+'Released from Oversight Summary'!D15</f>
        <v>405189967.37323809</v>
      </c>
      <c r="E15" s="7">
        <f>+'Pre-Liquidation Summary'!E15+'Open Summary'!E15+'Closed Summary'!E15+'Estate Closed Summary'!E15+'Released from Oversight Summary'!E15</f>
        <v>5731.567717149901</v>
      </c>
      <c r="F15" s="17">
        <f t="shared" si="0"/>
        <v>729223493.69682753</v>
      </c>
      <c r="G15" s="3"/>
      <c r="H15" s="10">
        <f>SUM('Alabama Life:Villanova'!K15)</f>
        <v>125602575</v>
      </c>
      <c r="I15" s="7">
        <f>SUM('Alabama Life:Villanova'!L15)</f>
        <v>0</v>
      </c>
      <c r="J15" s="7"/>
      <c r="K15" s="7">
        <f>SUM('Alabama Life:Villanova'!N15)</f>
        <v>224779838</v>
      </c>
      <c r="L15" s="7">
        <f>SUM('Alabama Life:Villanova'!O15)</f>
        <v>142450</v>
      </c>
      <c r="M15" s="7"/>
      <c r="N15" s="7">
        <f>SUM('Alabama Life:Villanova'!Q15)</f>
        <v>32600000</v>
      </c>
      <c r="O15" s="7">
        <f>SUM('Alabama Life:Villanova'!R15)</f>
        <v>0</v>
      </c>
      <c r="P15" s="7"/>
      <c r="Q15" s="7">
        <f>SUM('Alabama Life:Villanova'!T15)</f>
        <v>0</v>
      </c>
      <c r="R15" s="17">
        <f>SUM('Alabama Life:Villanova'!U15)</f>
        <v>0</v>
      </c>
    </row>
    <row r="16" spans="1:18">
      <c r="A16" t="s">
        <v>10</v>
      </c>
      <c r="B16" s="10">
        <f>+'Pre-Liquidation Summary'!B16+'Open Summary'!B16+'Closed Summary'!B16+'Estate Closed Summary'!B16+'Released from Oversight Summary'!B16</f>
        <v>31022043.170275468</v>
      </c>
      <c r="C16" s="7">
        <f>+'Pre-Liquidation Summary'!C16+'Open Summary'!C16+'Closed Summary'!C16+'Estate Closed Summary'!C16+'Released from Oversight Summary'!C16</f>
        <v>36676850.507932246</v>
      </c>
      <c r="D16" s="7">
        <f>+'Pre-Liquidation Summary'!D16+'Open Summary'!D16+'Closed Summary'!D16+'Estate Closed Summary'!D16+'Released from Oversight Summary'!D16</f>
        <v>88135252.820888489</v>
      </c>
      <c r="E16" s="7">
        <f>+'Pre-Liquidation Summary'!E16+'Open Summary'!E16+'Closed Summary'!E16+'Estate Closed Summary'!E16+'Released from Oversight Summary'!E16</f>
        <v>2391258.7291219179</v>
      </c>
      <c r="F16" s="17">
        <f t="shared" si="0"/>
        <v>158225405.22821814</v>
      </c>
      <c r="G16" s="3"/>
      <c r="H16" s="10">
        <f>SUM('Alabama Life:Villanova'!K16)</f>
        <v>43275908</v>
      </c>
      <c r="I16" s="7">
        <f>SUM('Alabama Life:Villanova'!L16)</f>
        <v>0</v>
      </c>
      <c r="J16" s="7"/>
      <c r="K16" s="7">
        <f>SUM('Alabama Life:Villanova'!N16)</f>
        <v>44189138</v>
      </c>
      <c r="L16" s="7">
        <f>SUM('Alabama Life:Villanova'!O16)</f>
        <v>584662.33000000007</v>
      </c>
      <c r="M16" s="7"/>
      <c r="N16" s="7">
        <f>SUM('Alabama Life:Villanova'!Q16)</f>
        <v>6131986</v>
      </c>
      <c r="O16" s="7">
        <f>SUM('Alabama Life:Villanova'!R16)</f>
        <v>64528</v>
      </c>
      <c r="P16" s="7"/>
      <c r="Q16" s="7">
        <f>SUM('Alabama Life:Villanova'!T16)</f>
        <v>5870582</v>
      </c>
      <c r="R16" s="17">
        <f>SUM('Alabama Life:Villanova'!U16)</f>
        <v>-32978.18</v>
      </c>
    </row>
    <row r="17" spans="1:18">
      <c r="A17" t="s">
        <v>11</v>
      </c>
      <c r="B17" s="10">
        <f>+'Pre-Liquidation Summary'!B17+'Open Summary'!B17+'Closed Summary'!B17+'Estate Closed Summary'!B17+'Released from Oversight Summary'!B17</f>
        <v>27974977.501181297</v>
      </c>
      <c r="C17" s="7">
        <f>+'Pre-Liquidation Summary'!C17+'Open Summary'!C17+'Closed Summary'!C17+'Estate Closed Summary'!C17+'Released from Oversight Summary'!C17</f>
        <v>37942013.548992001</v>
      </c>
      <c r="D17" s="7">
        <f>+'Pre-Liquidation Summary'!D17+'Open Summary'!D17+'Closed Summary'!D17+'Estate Closed Summary'!D17+'Released from Oversight Summary'!D17</f>
        <v>5855739.7614548933</v>
      </c>
      <c r="E17" s="7">
        <f>+'Pre-Liquidation Summary'!E17+'Open Summary'!E17+'Closed Summary'!E17+'Estate Closed Summary'!E17+'Released from Oversight Summary'!E17</f>
        <v>0</v>
      </c>
      <c r="F17" s="17">
        <f t="shared" si="0"/>
        <v>71772730.811628193</v>
      </c>
      <c r="G17" s="3"/>
      <c r="H17" s="10">
        <f>SUM('Alabama Life:Villanova'!K17)</f>
        <v>47538543</v>
      </c>
      <c r="I17" s="7">
        <f>SUM('Alabama Life:Villanova'!L17)</f>
        <v>21042109</v>
      </c>
      <c r="J17" s="7"/>
      <c r="K17" s="7">
        <f>SUM('Alabama Life:Villanova'!N17)</f>
        <v>41818128</v>
      </c>
      <c r="L17" s="7">
        <f>SUM('Alabama Life:Villanova'!O17)</f>
        <v>15586534</v>
      </c>
      <c r="M17" s="7"/>
      <c r="N17" s="7">
        <f>SUM('Alabama Life:Villanova'!Q17)</f>
        <v>11882875</v>
      </c>
      <c r="O17" s="7">
        <f>SUM('Alabama Life:Villanova'!R17)</f>
        <v>11503683</v>
      </c>
      <c r="P17" s="7"/>
      <c r="Q17" s="7">
        <f>SUM('Alabama Life:Villanova'!T17)</f>
        <v>0</v>
      </c>
      <c r="R17" s="17">
        <f>SUM('Alabama Life:Villanova'!U17)</f>
        <v>0</v>
      </c>
    </row>
    <row r="18" spans="1:18">
      <c r="A18" t="s">
        <v>12</v>
      </c>
      <c r="B18" s="10">
        <f>+'Pre-Liquidation Summary'!B18+'Open Summary'!B18+'Closed Summary'!B18+'Estate Closed Summary'!B18+'Released from Oversight Summary'!B18</f>
        <v>8508866.2800691519</v>
      </c>
      <c r="C18" s="7">
        <f>+'Pre-Liquidation Summary'!C18+'Open Summary'!C18+'Closed Summary'!C18+'Estate Closed Summary'!C18+'Released from Oversight Summary'!C18</f>
        <v>10902827.186603956</v>
      </c>
      <c r="D18" s="7">
        <f>+'Pre-Liquidation Summary'!D18+'Open Summary'!D18+'Closed Summary'!D18+'Estate Closed Summary'!D18+'Released from Oversight Summary'!D18</f>
        <v>7665910.0421106229</v>
      </c>
      <c r="E18" s="7">
        <f>+'Pre-Liquidation Summary'!E18+'Open Summary'!E18+'Closed Summary'!E18+'Estate Closed Summary'!E18+'Released from Oversight Summary'!E18</f>
        <v>0</v>
      </c>
      <c r="F18" s="17">
        <f t="shared" si="0"/>
        <v>27077603.508783728</v>
      </c>
      <c r="G18" s="3"/>
      <c r="H18" s="10">
        <f>SUM('Alabama Life:Villanova'!K18)</f>
        <v>11714705</v>
      </c>
      <c r="I18" s="7">
        <f>SUM('Alabama Life:Villanova'!L18)</f>
        <v>2699795</v>
      </c>
      <c r="J18" s="7"/>
      <c r="K18" s="7">
        <f>SUM('Alabama Life:Villanova'!N18)</f>
        <v>9940276</v>
      </c>
      <c r="L18" s="7">
        <f>SUM('Alabama Life:Villanova'!O18)</f>
        <v>0</v>
      </c>
      <c r="M18" s="7"/>
      <c r="N18" s="7">
        <f>SUM('Alabama Life:Villanova'!Q18)</f>
        <v>1164135</v>
      </c>
      <c r="O18" s="7">
        <f>SUM('Alabama Life:Villanova'!R18)</f>
        <v>0</v>
      </c>
      <c r="P18" s="7"/>
      <c r="Q18" s="7">
        <f>SUM('Alabama Life:Villanova'!T18)</f>
        <v>0</v>
      </c>
      <c r="R18" s="17">
        <f>SUM('Alabama Life:Villanova'!U18)</f>
        <v>0</v>
      </c>
    </row>
    <row r="19" spans="1:18">
      <c r="A19" t="s">
        <v>13</v>
      </c>
      <c r="B19" s="10">
        <f>+'Pre-Liquidation Summary'!B19+'Open Summary'!B19+'Closed Summary'!B19+'Estate Closed Summary'!B19+'Released from Oversight Summary'!B19</f>
        <v>152677248.21424285</v>
      </c>
      <c r="C19" s="7">
        <f>+'Pre-Liquidation Summary'!C19+'Open Summary'!C19+'Closed Summary'!C19+'Estate Closed Summary'!C19+'Released from Oversight Summary'!C19</f>
        <v>175954955.53496265</v>
      </c>
      <c r="D19" s="7">
        <f>+'Pre-Liquidation Summary'!D19+'Open Summary'!D19+'Closed Summary'!D19+'Estate Closed Summary'!D19+'Released from Oversight Summary'!D19</f>
        <v>100902110.29466774</v>
      </c>
      <c r="E19" s="7">
        <f>+'Pre-Liquidation Summary'!E19+'Open Summary'!E19+'Closed Summary'!E19+'Estate Closed Summary'!E19+'Released from Oversight Summary'!E19</f>
        <v>8832948.4391176887</v>
      </c>
      <c r="F19" s="17">
        <f t="shared" si="0"/>
        <v>438367262.48299086</v>
      </c>
      <c r="G19" s="3"/>
      <c r="H19" s="10">
        <f>SUM('Alabama Life:Villanova'!K19)</f>
        <v>192589738</v>
      </c>
      <c r="I19" s="7">
        <f>SUM('Alabama Life:Villanova'!L19)</f>
        <v>37995670</v>
      </c>
      <c r="J19" s="7"/>
      <c r="K19" s="7">
        <f>SUM('Alabama Life:Villanova'!N19)</f>
        <v>204502147</v>
      </c>
      <c r="L19" s="7">
        <f>SUM('Alabama Life:Villanova'!O19)</f>
        <v>102895755</v>
      </c>
      <c r="M19" s="7"/>
      <c r="N19" s="7">
        <f>SUM('Alabama Life:Villanova'!Q19)</f>
        <v>39730000</v>
      </c>
      <c r="O19" s="7">
        <f>SUM('Alabama Life:Villanova'!R19)</f>
        <v>18748240</v>
      </c>
      <c r="P19" s="7"/>
      <c r="Q19" s="7">
        <f>SUM('Alabama Life:Villanova'!T19)</f>
        <v>77450410</v>
      </c>
      <c r="R19" s="17">
        <f>SUM('Alabama Life:Villanova'!U19)</f>
        <v>59759367</v>
      </c>
    </row>
    <row r="20" spans="1:18">
      <c r="A20" t="s">
        <v>14</v>
      </c>
      <c r="B20" s="10">
        <f>+'Pre-Liquidation Summary'!B20+'Open Summary'!B20+'Closed Summary'!B20+'Estate Closed Summary'!B20+'Released from Oversight Summary'!B20</f>
        <v>33182419.496813294</v>
      </c>
      <c r="C20" s="7">
        <f>+'Pre-Liquidation Summary'!C20+'Open Summary'!C20+'Closed Summary'!C20+'Estate Closed Summary'!C20+'Released from Oversight Summary'!C20</f>
        <v>54876916.121495277</v>
      </c>
      <c r="D20" s="7">
        <f>+'Pre-Liquidation Summary'!D20+'Open Summary'!D20+'Closed Summary'!D20+'Estate Closed Summary'!D20+'Released from Oversight Summary'!D20</f>
        <v>36727637.734478205</v>
      </c>
      <c r="E20" s="7">
        <f>+'Pre-Liquidation Summary'!E20+'Open Summary'!E20+'Closed Summary'!E20+'Estate Closed Summary'!E20+'Released from Oversight Summary'!E20</f>
        <v>4768042.8979088739</v>
      </c>
      <c r="F20" s="17">
        <f t="shared" si="0"/>
        <v>129555016.25069565</v>
      </c>
      <c r="G20" s="3"/>
      <c r="H20" s="10">
        <f>SUM('Alabama Life:Villanova'!K20)</f>
        <v>31100051</v>
      </c>
      <c r="I20" s="7">
        <f>SUM('Alabama Life:Villanova'!L20)</f>
        <v>5000000</v>
      </c>
      <c r="J20" s="7"/>
      <c r="K20" s="7">
        <f>SUM('Alabama Life:Villanova'!N20)</f>
        <v>74412620</v>
      </c>
      <c r="L20" s="7">
        <f>SUM('Alabama Life:Villanova'!O20)</f>
        <v>4999960</v>
      </c>
      <c r="M20" s="7"/>
      <c r="N20" s="7">
        <f>SUM('Alabama Life:Villanova'!Q20)</f>
        <v>25209164</v>
      </c>
      <c r="O20" s="7">
        <f>SUM('Alabama Life:Villanova'!R20)</f>
        <v>0</v>
      </c>
      <c r="P20" s="7"/>
      <c r="Q20" s="7">
        <f>SUM('Alabama Life:Villanova'!T20)</f>
        <v>0</v>
      </c>
      <c r="R20" s="17">
        <f>SUM('Alabama Life:Villanova'!U20)</f>
        <v>0</v>
      </c>
    </row>
    <row r="21" spans="1:18">
      <c r="A21" t="s">
        <v>15</v>
      </c>
      <c r="B21" s="10">
        <f>+'Pre-Liquidation Summary'!B21+'Open Summary'!B21+'Closed Summary'!B21+'Estate Closed Summary'!B21+'Released from Oversight Summary'!B21</f>
        <v>38336378.151697896</v>
      </c>
      <c r="C21" s="7">
        <f>+'Pre-Liquidation Summary'!C21+'Open Summary'!C21+'Closed Summary'!C21+'Estate Closed Summary'!C21+'Released from Oversight Summary'!C21</f>
        <v>37912266.97252357</v>
      </c>
      <c r="D21" s="7">
        <f>+'Pre-Liquidation Summary'!D21+'Open Summary'!D21+'Closed Summary'!D21+'Estate Closed Summary'!D21+'Released from Oversight Summary'!D21</f>
        <v>64331887.826439776</v>
      </c>
      <c r="E21" s="7">
        <f>+'Pre-Liquidation Summary'!E21+'Open Summary'!E21+'Closed Summary'!E21+'Estate Closed Summary'!E21+'Released from Oversight Summary'!E21</f>
        <v>39978.096278304423</v>
      </c>
      <c r="F21" s="17">
        <f t="shared" si="0"/>
        <v>140620511.04693955</v>
      </c>
      <c r="G21" s="3"/>
      <c r="H21" s="10">
        <f>SUM('Alabama Life:Villanova'!K21)</f>
        <v>30559122</v>
      </c>
      <c r="I21" s="7">
        <f>SUM('Alabama Life:Villanova'!L21)</f>
        <v>0</v>
      </c>
      <c r="J21" s="7"/>
      <c r="K21" s="7">
        <f>SUM('Alabama Life:Villanova'!N21)</f>
        <v>38014908</v>
      </c>
      <c r="L21" s="7">
        <f>SUM('Alabama Life:Villanova'!O21)</f>
        <v>0</v>
      </c>
      <c r="M21" s="7"/>
      <c r="N21" s="7">
        <f>SUM('Alabama Life:Villanova'!Q21)</f>
        <v>1895360</v>
      </c>
      <c r="O21" s="7">
        <f>SUM('Alabama Life:Villanova'!R21)</f>
        <v>0</v>
      </c>
      <c r="P21" s="7"/>
      <c r="Q21" s="7">
        <f>SUM('Alabama Life:Villanova'!T21)</f>
        <v>1280000</v>
      </c>
      <c r="R21" s="17">
        <f>SUM('Alabama Life:Villanova'!U21)</f>
        <v>0</v>
      </c>
    </row>
    <row r="22" spans="1:18">
      <c r="A22" t="s">
        <v>16</v>
      </c>
      <c r="B22" s="10">
        <f>+'Pre-Liquidation Summary'!B22+'Open Summary'!B22+'Closed Summary'!B22+'Estate Closed Summary'!B22+'Released from Oversight Summary'!B22</f>
        <v>43220911.135317072</v>
      </c>
      <c r="C22" s="7">
        <f>+'Pre-Liquidation Summary'!C22+'Open Summary'!C22+'Closed Summary'!C22+'Estate Closed Summary'!C22+'Released from Oversight Summary'!C22</f>
        <v>17454213.309401833</v>
      </c>
      <c r="D22" s="7">
        <f>+'Pre-Liquidation Summary'!D22+'Open Summary'!D22+'Closed Summary'!D22+'Estate Closed Summary'!D22+'Released from Oversight Summary'!D22</f>
        <v>13850552.242504224</v>
      </c>
      <c r="E22" s="7">
        <f>+'Pre-Liquidation Summary'!E22+'Open Summary'!E22+'Closed Summary'!E22+'Estate Closed Summary'!E22+'Released from Oversight Summary'!E22</f>
        <v>0</v>
      </c>
      <c r="F22" s="17">
        <f t="shared" si="0"/>
        <v>74525676.687223136</v>
      </c>
      <c r="G22" s="3"/>
      <c r="H22" s="10">
        <f>SUM('Alabama Life:Villanova'!K22)</f>
        <v>32361000</v>
      </c>
      <c r="I22" s="7">
        <f>SUM('Alabama Life:Villanova'!L22)</f>
        <v>0</v>
      </c>
      <c r="J22" s="7"/>
      <c r="K22" s="7">
        <f>SUM('Alabama Life:Villanova'!N22)</f>
        <v>19115000</v>
      </c>
      <c r="L22" s="7">
        <f>SUM('Alabama Life:Villanova'!O22)</f>
        <v>0</v>
      </c>
      <c r="M22" s="7"/>
      <c r="N22" s="7">
        <f>SUM('Alabama Life:Villanova'!Q22)</f>
        <v>1650000</v>
      </c>
      <c r="O22" s="7">
        <f>SUM('Alabama Life:Villanova'!R22)</f>
        <v>0</v>
      </c>
      <c r="P22" s="7"/>
      <c r="Q22" s="7">
        <f>SUM('Alabama Life:Villanova'!T22)</f>
        <v>0</v>
      </c>
      <c r="R22" s="17">
        <f>SUM('Alabama Life:Villanova'!U22)</f>
        <v>0</v>
      </c>
    </row>
    <row r="23" spans="1:18">
      <c r="A23" t="s">
        <v>17</v>
      </c>
      <c r="B23" s="10">
        <f>+'Pre-Liquidation Summary'!B23+'Open Summary'!B23+'Closed Summary'!B23+'Estate Closed Summary'!B23+'Released from Oversight Summary'!B23</f>
        <v>23921014.513274677</v>
      </c>
      <c r="C23" s="7">
        <f>+'Pre-Liquidation Summary'!C23+'Open Summary'!C23+'Closed Summary'!C23+'Estate Closed Summary'!C23+'Released from Oversight Summary'!C23</f>
        <v>26046861.741974063</v>
      </c>
      <c r="D23" s="7">
        <f>+'Pre-Liquidation Summary'!D23+'Open Summary'!D23+'Closed Summary'!D23+'Estate Closed Summary'!D23+'Released from Oversight Summary'!D23</f>
        <v>43629099.248883225</v>
      </c>
      <c r="E23" s="7">
        <f>+'Pre-Liquidation Summary'!E23+'Open Summary'!E23+'Closed Summary'!E23+'Estate Closed Summary'!E23+'Released from Oversight Summary'!E23</f>
        <v>0</v>
      </c>
      <c r="F23" s="17">
        <f t="shared" si="0"/>
        <v>93596975.504131973</v>
      </c>
      <c r="G23" s="3"/>
      <c r="H23" s="10">
        <f>SUM('Alabama Life:Villanova'!K23)</f>
        <v>43218857</v>
      </c>
      <c r="I23" s="7">
        <f>SUM('Alabama Life:Villanova'!L23)</f>
        <v>15572328.4</v>
      </c>
      <c r="J23" s="7"/>
      <c r="K23" s="7">
        <f>SUM('Alabama Life:Villanova'!N23)</f>
        <v>28873715</v>
      </c>
      <c r="L23" s="7">
        <f>SUM('Alabama Life:Villanova'!O23)</f>
        <v>4334687.96</v>
      </c>
      <c r="M23" s="7"/>
      <c r="N23" s="7">
        <f>SUM('Alabama Life:Villanova'!Q23)</f>
        <v>6909411</v>
      </c>
      <c r="O23" s="7">
        <f>SUM('Alabama Life:Villanova'!R23)</f>
        <v>1053336.01</v>
      </c>
      <c r="P23" s="7"/>
      <c r="Q23" s="7">
        <f>SUM('Alabama Life:Villanova'!T23)</f>
        <v>0</v>
      </c>
      <c r="R23" s="17">
        <f>SUM('Alabama Life:Villanova'!U23)</f>
        <v>0</v>
      </c>
    </row>
    <row r="24" spans="1:18">
      <c r="A24" t="s">
        <v>18</v>
      </c>
      <c r="B24" s="10">
        <f>+'Pre-Liquidation Summary'!B24+'Open Summary'!B24+'Closed Summary'!B24+'Estate Closed Summary'!B24+'Released from Oversight Summary'!B24</f>
        <v>8409367.8897072598</v>
      </c>
      <c r="C24" s="7">
        <f>+'Pre-Liquidation Summary'!C24+'Open Summary'!C24+'Closed Summary'!C24+'Estate Closed Summary'!C24+'Released from Oversight Summary'!C24</f>
        <v>6199516.2570801033</v>
      </c>
      <c r="D24" s="7">
        <f>+'Pre-Liquidation Summary'!D24+'Open Summary'!D24+'Closed Summary'!D24+'Estate Closed Summary'!D24+'Released from Oversight Summary'!D24</f>
        <v>18705189.036671799</v>
      </c>
      <c r="E24" s="7">
        <f>+'Pre-Liquidation Summary'!E24+'Open Summary'!E24+'Closed Summary'!E24+'Estate Closed Summary'!E24+'Released from Oversight Summary'!E24</f>
        <v>0</v>
      </c>
      <c r="F24" s="17">
        <f t="shared" si="0"/>
        <v>33314073.183459163</v>
      </c>
      <c r="G24" s="3"/>
      <c r="H24" s="10">
        <f>SUM('Alabama Life:Villanova'!K24)</f>
        <v>8103508</v>
      </c>
      <c r="I24" s="7">
        <f>SUM('Alabama Life:Villanova'!L24)</f>
        <v>0</v>
      </c>
      <c r="J24" s="7"/>
      <c r="K24" s="7">
        <f>SUM('Alabama Life:Villanova'!N24)</f>
        <v>14413707</v>
      </c>
      <c r="L24" s="7">
        <f>SUM('Alabama Life:Villanova'!O24)</f>
        <v>0</v>
      </c>
      <c r="M24" s="7"/>
      <c r="N24" s="7">
        <f>SUM('Alabama Life:Villanova'!Q24)</f>
        <v>15638832</v>
      </c>
      <c r="O24" s="7">
        <f>SUM('Alabama Life:Villanova'!R24)</f>
        <v>0</v>
      </c>
      <c r="P24" s="7"/>
      <c r="Q24" s="7">
        <f>SUM('Alabama Life:Villanova'!T24)</f>
        <v>0</v>
      </c>
      <c r="R24" s="17">
        <f>SUM('Alabama Life:Villanova'!U24)</f>
        <v>0</v>
      </c>
    </row>
    <row r="25" spans="1:18">
      <c r="A25" t="s">
        <v>19</v>
      </c>
      <c r="B25" s="10">
        <f>+'Pre-Liquidation Summary'!B25+'Open Summary'!B25+'Closed Summary'!B25+'Estate Closed Summary'!B25+'Released from Oversight Summary'!B25</f>
        <v>597031.9943629934</v>
      </c>
      <c r="C25" s="7">
        <f>+'Pre-Liquidation Summary'!C25+'Open Summary'!C25+'Closed Summary'!C25+'Estate Closed Summary'!C25+'Released from Oversight Summary'!C25</f>
        <v>1925716.4508235166</v>
      </c>
      <c r="D25" s="7">
        <f>+'Pre-Liquidation Summary'!D25+'Open Summary'!D25+'Closed Summary'!D25+'Estate Closed Summary'!D25+'Released from Oversight Summary'!D25</f>
        <v>999823.25666423049</v>
      </c>
      <c r="E25" s="7">
        <f>+'Pre-Liquidation Summary'!E25+'Open Summary'!E25+'Closed Summary'!E25+'Estate Closed Summary'!E25+'Released from Oversight Summary'!E25</f>
        <v>62899.02870535438</v>
      </c>
      <c r="F25" s="17">
        <f t="shared" si="0"/>
        <v>3585470.7305560946</v>
      </c>
      <c r="G25" s="3"/>
      <c r="H25" s="10">
        <f>SUM('Alabama Life:Villanova'!K25)</f>
        <v>2172639</v>
      </c>
      <c r="I25" s="7">
        <f>SUM('Alabama Life:Villanova'!L25)</f>
        <v>0</v>
      </c>
      <c r="J25" s="7"/>
      <c r="K25" s="7">
        <f>SUM('Alabama Life:Villanova'!N25)</f>
        <v>1159361</v>
      </c>
      <c r="L25" s="7">
        <f>SUM('Alabama Life:Villanova'!O25)</f>
        <v>0</v>
      </c>
      <c r="M25" s="7"/>
      <c r="N25" s="7">
        <f>SUM('Alabama Life:Villanova'!Q25)</f>
        <v>175000</v>
      </c>
      <c r="O25" s="7">
        <f>SUM('Alabama Life:Villanova'!R25)</f>
        <v>0</v>
      </c>
      <c r="P25" s="7"/>
      <c r="Q25" s="7">
        <f>SUM('Alabama Life:Villanova'!T25)</f>
        <v>0</v>
      </c>
      <c r="R25" s="17">
        <f>SUM('Alabama Life:Villanova'!U25)</f>
        <v>0</v>
      </c>
    </row>
    <row r="26" spans="1:18">
      <c r="A26" t="s">
        <v>20</v>
      </c>
      <c r="B26" s="10">
        <f>+'Pre-Liquidation Summary'!B26+'Open Summary'!B26+'Closed Summary'!B26+'Estate Closed Summary'!B26+'Released from Oversight Summary'!B26</f>
        <v>20401372.858516611</v>
      </c>
      <c r="C26" s="7">
        <f>+'Pre-Liquidation Summary'!C26+'Open Summary'!C26+'Closed Summary'!C26+'Estate Closed Summary'!C26+'Released from Oversight Summary'!C26</f>
        <v>32337209.561929874</v>
      </c>
      <c r="D26" s="7">
        <f>+'Pre-Liquidation Summary'!D26+'Open Summary'!D26+'Closed Summary'!D26+'Estate Closed Summary'!D26+'Released from Oversight Summary'!D26</f>
        <v>29105833.468099363</v>
      </c>
      <c r="E26" s="7">
        <f>+'Pre-Liquidation Summary'!E26+'Open Summary'!E26+'Closed Summary'!E26+'Estate Closed Summary'!E26+'Released from Oversight Summary'!E26</f>
        <v>5594765.3276197398</v>
      </c>
      <c r="F26" s="17">
        <f t="shared" si="0"/>
        <v>87439181.216165587</v>
      </c>
      <c r="G26" s="3"/>
      <c r="H26" s="10">
        <f>SUM('Alabama Life:Villanova'!K26)</f>
        <v>37317287</v>
      </c>
      <c r="I26" s="7">
        <f>SUM('Alabama Life:Villanova'!L26)</f>
        <v>0</v>
      </c>
      <c r="J26" s="7"/>
      <c r="K26" s="7">
        <f>SUM('Alabama Life:Villanova'!N26)</f>
        <v>31352121</v>
      </c>
      <c r="L26" s="7">
        <f>SUM('Alabama Life:Villanova'!O26)</f>
        <v>0</v>
      </c>
      <c r="M26" s="7"/>
      <c r="N26" s="7">
        <f>SUM('Alabama Life:Villanova'!Q26)</f>
        <v>1700000</v>
      </c>
      <c r="O26" s="7">
        <f>SUM('Alabama Life:Villanova'!R26)</f>
        <v>0</v>
      </c>
      <c r="P26" s="7"/>
      <c r="Q26" s="7">
        <f>SUM('Alabama Life:Villanova'!T26)</f>
        <v>0</v>
      </c>
      <c r="R26" s="17">
        <f>SUM('Alabama Life:Villanova'!U26)</f>
        <v>0</v>
      </c>
    </row>
    <row r="27" spans="1:18">
      <c r="A27" t="s">
        <v>21</v>
      </c>
      <c r="B27" s="10">
        <f>+'Pre-Liquidation Summary'!B27+'Open Summary'!B27+'Closed Summary'!B27+'Estate Closed Summary'!B27+'Released from Oversight Summary'!B27</f>
        <v>45442148.779682964</v>
      </c>
      <c r="C27" s="7">
        <f>+'Pre-Liquidation Summary'!C27+'Open Summary'!C27+'Closed Summary'!C27+'Estate Closed Summary'!C27+'Released from Oversight Summary'!C27</f>
        <v>46356306.560184903</v>
      </c>
      <c r="D27" s="7">
        <f>+'Pre-Liquidation Summary'!D27+'Open Summary'!D27+'Closed Summary'!D27+'Estate Closed Summary'!D27+'Released from Oversight Summary'!D27</f>
        <v>2575773.7842024472</v>
      </c>
      <c r="E27" s="7">
        <f>+'Pre-Liquidation Summary'!E27+'Open Summary'!E27+'Closed Summary'!E27+'Estate Closed Summary'!E27+'Released from Oversight Summary'!E27</f>
        <v>0</v>
      </c>
      <c r="F27" s="17">
        <f t="shared" si="0"/>
        <v>94374229.124070302</v>
      </c>
      <c r="G27" s="3"/>
      <c r="H27" s="10">
        <f>SUM('Alabama Life:Villanova'!K27)</f>
        <v>42115000</v>
      </c>
      <c r="I27" s="7">
        <f>SUM('Alabama Life:Villanova'!L27)</f>
        <v>2125000</v>
      </c>
      <c r="J27" s="7"/>
      <c r="K27" s="7">
        <f>SUM('Alabama Life:Villanova'!N27)</f>
        <v>34791000</v>
      </c>
      <c r="L27" s="7">
        <f>SUM('Alabama Life:Villanova'!O27)</f>
        <v>700000</v>
      </c>
      <c r="M27" s="7"/>
      <c r="N27" s="7">
        <f>SUM('Alabama Life:Villanova'!Q27)</f>
        <v>5456000</v>
      </c>
      <c r="O27" s="7">
        <f>SUM('Alabama Life:Villanova'!R27)</f>
        <v>1475000</v>
      </c>
      <c r="P27" s="7"/>
      <c r="Q27" s="7">
        <f>SUM('Alabama Life:Villanova'!T27)</f>
        <v>0</v>
      </c>
      <c r="R27" s="17">
        <f>SUM('Alabama Life:Villanova'!U27)</f>
        <v>0</v>
      </c>
    </row>
    <row r="28" spans="1:18">
      <c r="A28" t="s">
        <v>22</v>
      </c>
      <c r="B28" s="10">
        <f>+'Pre-Liquidation Summary'!B28+'Open Summary'!B28+'Closed Summary'!B28+'Estate Closed Summary'!B28+'Released from Oversight Summary'!B28</f>
        <v>10497236.995519128</v>
      </c>
      <c r="C28" s="7">
        <f>+'Pre-Liquidation Summary'!C28+'Open Summary'!C28+'Closed Summary'!C28+'Estate Closed Summary'!C28+'Released from Oversight Summary'!C28</f>
        <v>55270816.569591329</v>
      </c>
      <c r="D28" s="7">
        <f>+'Pre-Liquidation Summary'!D28+'Open Summary'!D28+'Closed Summary'!D28+'Estate Closed Summary'!D28+'Released from Oversight Summary'!D28</f>
        <v>30218164.705927443</v>
      </c>
      <c r="E28" s="7">
        <f>+'Pre-Liquidation Summary'!E28+'Open Summary'!E28+'Closed Summary'!E28+'Estate Closed Summary'!E28+'Released from Oversight Summary'!E28</f>
        <v>3294547.5018721567</v>
      </c>
      <c r="F28" s="17">
        <f t="shared" si="0"/>
        <v>99280765.772910058</v>
      </c>
      <c r="G28" s="3"/>
      <c r="H28" s="10">
        <f>SUM('Alabama Life:Villanova'!K28)</f>
        <v>23920700</v>
      </c>
      <c r="I28" s="7">
        <f>SUM('Alabama Life:Villanova'!L28)</f>
        <v>13088981</v>
      </c>
      <c r="J28" s="7"/>
      <c r="K28" s="7">
        <f>SUM('Alabama Life:Villanova'!N28)</f>
        <v>70299300</v>
      </c>
      <c r="L28" s="7">
        <f>SUM('Alabama Life:Villanova'!O28)</f>
        <v>10100034</v>
      </c>
      <c r="M28" s="7"/>
      <c r="N28" s="7">
        <f>SUM('Alabama Life:Villanova'!Q28)</f>
        <v>0</v>
      </c>
      <c r="O28" s="7">
        <f>SUM('Alabama Life:Villanova'!R28)</f>
        <v>0</v>
      </c>
      <c r="P28" s="7"/>
      <c r="Q28" s="7">
        <f>SUM('Alabama Life:Villanova'!T28)</f>
        <v>34158333</v>
      </c>
      <c r="R28" s="17">
        <f>SUM('Alabama Life:Villanova'!U28)</f>
        <v>29297170</v>
      </c>
    </row>
    <row r="29" spans="1:18">
      <c r="A29" t="s">
        <v>23</v>
      </c>
      <c r="B29" s="10">
        <f>+'Pre-Liquidation Summary'!B29+'Open Summary'!B29+'Closed Summary'!B29+'Estate Closed Summary'!B29+'Released from Oversight Summary'!B29</f>
        <v>17188875.133023545</v>
      </c>
      <c r="C29" s="7">
        <f>+'Pre-Liquidation Summary'!C29+'Open Summary'!C29+'Closed Summary'!C29+'Estate Closed Summary'!C29+'Released from Oversight Summary'!C29</f>
        <v>62893471.083757758</v>
      </c>
      <c r="D29" s="7">
        <f>+'Pre-Liquidation Summary'!D29+'Open Summary'!D29+'Closed Summary'!D29+'Estate Closed Summary'!D29+'Released from Oversight Summary'!D29</f>
        <v>4818860.7191278581</v>
      </c>
      <c r="E29" s="7">
        <f>+'Pre-Liquidation Summary'!E29+'Open Summary'!E29+'Closed Summary'!E29+'Estate Closed Summary'!E29+'Released from Oversight Summary'!E29</f>
        <v>2516088.6399990553</v>
      </c>
      <c r="F29" s="17">
        <f t="shared" si="0"/>
        <v>87417295.575908229</v>
      </c>
      <c r="G29" s="3"/>
      <c r="H29" s="10">
        <f>SUM('Alabama Life:Villanova'!K29)</f>
        <v>24063000</v>
      </c>
      <c r="I29" s="7">
        <f>SUM('Alabama Life:Villanova'!L29)</f>
        <v>2144001</v>
      </c>
      <c r="J29" s="7"/>
      <c r="K29" s="7">
        <f>SUM('Alabama Life:Villanova'!N29)</f>
        <v>120079500</v>
      </c>
      <c r="L29" s="7">
        <f>SUM('Alabama Life:Villanova'!O29)</f>
        <v>24707255</v>
      </c>
      <c r="M29" s="7"/>
      <c r="N29" s="7">
        <f>SUM('Alabama Life:Villanova'!Q29)</f>
        <v>418500</v>
      </c>
      <c r="O29" s="7">
        <f>SUM('Alabama Life:Villanova'!R29)</f>
        <v>0</v>
      </c>
      <c r="P29" s="7"/>
      <c r="Q29" s="7">
        <f>SUM('Alabama Life:Villanova'!T29)</f>
        <v>5700000</v>
      </c>
      <c r="R29" s="17">
        <f>SUM('Alabama Life:Villanova'!U29)</f>
        <v>0</v>
      </c>
    </row>
    <row r="30" spans="1:18">
      <c r="A30" t="s">
        <v>24</v>
      </c>
      <c r="B30" s="10">
        <f>+'Pre-Liquidation Summary'!B30+'Open Summary'!B30+'Closed Summary'!B30+'Estate Closed Summary'!B30+'Released from Oversight Summary'!B30</f>
        <v>65825437.417682998</v>
      </c>
      <c r="C30" s="7">
        <f>+'Pre-Liquidation Summary'!C30+'Open Summary'!C30+'Closed Summary'!C30+'Estate Closed Summary'!C30+'Released from Oversight Summary'!C30</f>
        <v>18926953.36651032</v>
      </c>
      <c r="D30" s="7">
        <f>+'Pre-Liquidation Summary'!D30+'Open Summary'!D30+'Closed Summary'!D30+'Estate Closed Summary'!D30+'Released from Oversight Summary'!D30</f>
        <v>12850893.319716558</v>
      </c>
      <c r="E30" s="7">
        <f>+'Pre-Liquidation Summary'!E30+'Open Summary'!E30+'Closed Summary'!E30+'Estate Closed Summary'!E30+'Released from Oversight Summary'!E30</f>
        <v>93835.627930942952</v>
      </c>
      <c r="F30" s="17">
        <f t="shared" si="0"/>
        <v>97697119.731840819</v>
      </c>
      <c r="G30" s="3"/>
      <c r="H30" s="10">
        <f>SUM('Alabama Life:Villanova'!K30)</f>
        <v>50334095</v>
      </c>
      <c r="I30" s="7">
        <f>SUM('Alabama Life:Villanova'!L30)</f>
        <v>14626</v>
      </c>
      <c r="J30" s="7"/>
      <c r="K30" s="7">
        <f>SUM('Alabama Life:Villanova'!N30)</f>
        <v>20172670</v>
      </c>
      <c r="L30" s="7">
        <f>SUM('Alabama Life:Villanova'!O30)</f>
        <v>0</v>
      </c>
      <c r="M30" s="7"/>
      <c r="N30" s="7">
        <f>SUM('Alabama Life:Villanova'!Q30)</f>
        <v>15534678</v>
      </c>
      <c r="O30" s="7">
        <f>SUM('Alabama Life:Villanova'!R30)</f>
        <v>30041</v>
      </c>
      <c r="P30" s="7"/>
      <c r="Q30" s="7">
        <f>SUM('Alabama Life:Villanova'!T30)</f>
        <v>6850139</v>
      </c>
      <c r="R30" s="17">
        <f>SUM('Alabama Life:Villanova'!U30)</f>
        <v>0</v>
      </c>
    </row>
    <row r="31" spans="1:18">
      <c r="A31" t="s">
        <v>25</v>
      </c>
      <c r="B31" s="10">
        <f>+'Pre-Liquidation Summary'!B31+'Open Summary'!B31+'Closed Summary'!B31+'Estate Closed Summary'!B31+'Released from Oversight Summary'!B31</f>
        <v>184743244.18655404</v>
      </c>
      <c r="C31" s="7">
        <f>+'Pre-Liquidation Summary'!C31+'Open Summary'!C31+'Closed Summary'!C31+'Estate Closed Summary'!C31+'Released from Oversight Summary'!C31</f>
        <v>36387088.941672936</v>
      </c>
      <c r="D31" s="7">
        <f>+'Pre-Liquidation Summary'!D31+'Open Summary'!D31+'Closed Summary'!D31+'Estate Closed Summary'!D31+'Released from Oversight Summary'!D31</f>
        <v>29021521.699014764</v>
      </c>
      <c r="E31" s="7">
        <f>+'Pre-Liquidation Summary'!E31+'Open Summary'!E31+'Closed Summary'!E31+'Estate Closed Summary'!E31+'Released from Oversight Summary'!E31</f>
        <v>29057.635525538732</v>
      </c>
      <c r="F31" s="17">
        <f t="shared" si="0"/>
        <v>250180912.46276727</v>
      </c>
      <c r="G31" s="3"/>
      <c r="H31" s="10">
        <f>SUM('Alabama Life:Villanova'!K31)</f>
        <v>86027852</v>
      </c>
      <c r="I31" s="7">
        <f>SUM('Alabama Life:Villanova'!L31)</f>
        <v>0</v>
      </c>
      <c r="J31" s="7"/>
      <c r="K31" s="7">
        <f>SUM('Alabama Life:Villanova'!N31)</f>
        <v>37285110</v>
      </c>
      <c r="L31" s="7">
        <f>SUM('Alabama Life:Villanova'!O31)</f>
        <v>0</v>
      </c>
      <c r="M31" s="7"/>
      <c r="N31" s="7">
        <f>SUM('Alabama Life:Villanova'!Q31)</f>
        <v>8479499</v>
      </c>
      <c r="O31" s="7">
        <f>SUM('Alabama Life:Villanova'!R31)</f>
        <v>0</v>
      </c>
      <c r="P31" s="7"/>
      <c r="Q31" s="7">
        <f>SUM('Alabama Life:Villanova'!T31)</f>
        <v>0</v>
      </c>
      <c r="R31" s="17">
        <f>SUM('Alabama Life:Villanova'!U31)</f>
        <v>0</v>
      </c>
    </row>
    <row r="32" spans="1:18">
      <c r="A32" t="s">
        <v>26</v>
      </c>
      <c r="B32" s="10">
        <f>+'Pre-Liquidation Summary'!B32+'Open Summary'!B32+'Closed Summary'!B32+'Estate Closed Summary'!B32+'Released from Oversight Summary'!B32</f>
        <v>4428861.2895761654</v>
      </c>
      <c r="C32" s="7">
        <f>+'Pre-Liquidation Summary'!C32+'Open Summary'!C32+'Closed Summary'!C32+'Estate Closed Summary'!C32+'Released from Oversight Summary'!C32</f>
        <v>6854037.8762432914</v>
      </c>
      <c r="D32" s="7">
        <f>+'Pre-Liquidation Summary'!D32+'Open Summary'!D32+'Closed Summary'!D32+'Estate Closed Summary'!D32+'Released from Oversight Summary'!D32</f>
        <v>4999510.8276832215</v>
      </c>
      <c r="E32" s="7">
        <f>+'Pre-Liquidation Summary'!E32+'Open Summary'!E32+'Closed Summary'!E32+'Estate Closed Summary'!E32+'Released from Oversight Summary'!E32</f>
        <v>0</v>
      </c>
      <c r="F32" s="17">
        <f t="shared" si="0"/>
        <v>16282409.993502678</v>
      </c>
      <c r="G32" s="3"/>
      <c r="H32" s="10">
        <f>SUM('Alabama Life:Villanova'!K32)</f>
        <v>8060287</v>
      </c>
      <c r="I32" s="7">
        <f>SUM('Alabama Life:Villanova'!L32)</f>
        <v>0</v>
      </c>
      <c r="J32" s="7"/>
      <c r="K32" s="7">
        <f>SUM('Alabama Life:Villanova'!N32)</f>
        <v>7723955</v>
      </c>
      <c r="L32" s="7">
        <f>SUM('Alabama Life:Villanova'!O32)</f>
        <v>0</v>
      </c>
      <c r="M32" s="7"/>
      <c r="N32" s="7">
        <f>SUM('Alabama Life:Villanova'!Q32)</f>
        <v>2024840</v>
      </c>
      <c r="O32" s="7">
        <f>SUM('Alabama Life:Villanova'!R32)</f>
        <v>0</v>
      </c>
      <c r="P32" s="7"/>
      <c r="Q32" s="7">
        <f>SUM('Alabama Life:Villanova'!T32)</f>
        <v>0</v>
      </c>
      <c r="R32" s="17">
        <f>SUM('Alabama Life:Villanova'!U32)</f>
        <v>0</v>
      </c>
    </row>
    <row r="33" spans="1:18">
      <c r="A33" t="s">
        <v>27</v>
      </c>
      <c r="B33" s="10">
        <f>+'Pre-Liquidation Summary'!B33+'Open Summary'!B33+'Closed Summary'!B33+'Estate Closed Summary'!B33+'Released from Oversight Summary'!B33</f>
        <v>16466141.278018096</v>
      </c>
      <c r="C33" s="7">
        <f>+'Pre-Liquidation Summary'!C33+'Open Summary'!C33+'Closed Summary'!C33+'Estate Closed Summary'!C33+'Released from Oversight Summary'!C33</f>
        <v>15911039.634872103</v>
      </c>
      <c r="D33" s="7">
        <f>+'Pre-Liquidation Summary'!D33+'Open Summary'!D33+'Closed Summary'!D33+'Estate Closed Summary'!D33+'Released from Oversight Summary'!D33</f>
        <v>25591211.010184959</v>
      </c>
      <c r="E33" s="7">
        <f>+'Pre-Liquidation Summary'!E33+'Open Summary'!E33+'Closed Summary'!E33+'Estate Closed Summary'!E33+'Released from Oversight Summary'!E33</f>
        <v>0</v>
      </c>
      <c r="F33" s="17">
        <f t="shared" si="0"/>
        <v>57968391.923075154</v>
      </c>
      <c r="G33" s="3"/>
      <c r="H33" s="10">
        <f>SUM('Alabama Life:Villanova'!K33)</f>
        <v>11938351</v>
      </c>
      <c r="I33" s="7">
        <f>SUM('Alabama Life:Villanova'!L33)</f>
        <v>532785</v>
      </c>
      <c r="J33" s="7"/>
      <c r="K33" s="7">
        <f>SUM('Alabama Life:Villanova'!N33)</f>
        <v>16775339</v>
      </c>
      <c r="L33" s="7">
        <f>SUM('Alabama Life:Villanova'!O33)</f>
        <v>293315</v>
      </c>
      <c r="M33" s="7"/>
      <c r="N33" s="7">
        <f>SUM('Alabama Life:Villanova'!Q33)</f>
        <v>5083700</v>
      </c>
      <c r="O33" s="7">
        <f>SUM('Alabama Life:Villanova'!R33)</f>
        <v>5700000</v>
      </c>
      <c r="P33" s="7"/>
      <c r="Q33" s="7">
        <f>SUM('Alabama Life:Villanova'!T33)</f>
        <v>0</v>
      </c>
      <c r="R33" s="17">
        <f>SUM('Alabama Life:Villanova'!U33)</f>
        <v>0</v>
      </c>
    </row>
    <row r="34" spans="1:18">
      <c r="A34" t="s">
        <v>28</v>
      </c>
      <c r="B34" s="10">
        <f>+'Pre-Liquidation Summary'!B34+'Open Summary'!B34+'Closed Summary'!B34+'Estate Closed Summary'!B34+'Released from Oversight Summary'!B34</f>
        <v>13126908.459467873</v>
      </c>
      <c r="C34" s="7">
        <f>+'Pre-Liquidation Summary'!C34+'Open Summary'!C34+'Closed Summary'!C34+'Estate Closed Summary'!C34+'Released from Oversight Summary'!C34</f>
        <v>9272682.0440807361</v>
      </c>
      <c r="D34" s="7">
        <f>+'Pre-Liquidation Summary'!D34+'Open Summary'!D34+'Closed Summary'!D34+'Estate Closed Summary'!D34+'Released from Oversight Summary'!D34</f>
        <v>13136955.304253666</v>
      </c>
      <c r="E34" s="7">
        <f>+'Pre-Liquidation Summary'!E34+'Open Summary'!E34+'Closed Summary'!E34+'Estate Closed Summary'!E34+'Released from Oversight Summary'!E34</f>
        <v>0</v>
      </c>
      <c r="F34" s="17">
        <f t="shared" si="0"/>
        <v>35536545.807802275</v>
      </c>
      <c r="G34" s="3"/>
      <c r="H34" s="10">
        <f>SUM('Alabama Life:Villanova'!K34)</f>
        <v>12262827</v>
      </c>
      <c r="I34" s="7">
        <f>SUM('Alabama Life:Villanova'!L34)</f>
        <v>337000</v>
      </c>
      <c r="J34" s="7"/>
      <c r="K34" s="7">
        <f>SUM('Alabama Life:Villanova'!N34)</f>
        <v>8197685</v>
      </c>
      <c r="L34" s="7">
        <f>SUM('Alabama Life:Villanova'!O34)</f>
        <v>69630</v>
      </c>
      <c r="M34" s="7"/>
      <c r="N34" s="7">
        <f>SUM('Alabama Life:Villanova'!Q34)</f>
        <v>11839600</v>
      </c>
      <c r="O34" s="7">
        <f>SUM('Alabama Life:Villanova'!R34)</f>
        <v>178000</v>
      </c>
      <c r="P34" s="7"/>
      <c r="Q34" s="7">
        <f>SUM('Alabama Life:Villanova'!T34)</f>
        <v>0</v>
      </c>
      <c r="R34" s="17">
        <f>SUM('Alabama Life:Villanova'!U34)</f>
        <v>0</v>
      </c>
    </row>
    <row r="35" spans="1:18">
      <c r="A35" t="s">
        <v>29</v>
      </c>
      <c r="B35" s="10">
        <f>+'Pre-Liquidation Summary'!B35+'Open Summary'!B35+'Closed Summary'!B35+'Estate Closed Summary'!B35+'Released from Oversight Summary'!B35</f>
        <v>562316.25923519873</v>
      </c>
      <c r="C35" s="7">
        <f>+'Pre-Liquidation Summary'!C35+'Open Summary'!C35+'Closed Summary'!C35+'Estate Closed Summary'!C35+'Released from Oversight Summary'!C35</f>
        <v>2339931.9904048373</v>
      </c>
      <c r="D35" s="7">
        <f>+'Pre-Liquidation Summary'!D35+'Open Summary'!D35+'Closed Summary'!D35+'Estate Closed Summary'!D35+'Released from Oversight Summary'!D35</f>
        <v>5744876.5366241466</v>
      </c>
      <c r="E35" s="7">
        <f>+'Pre-Liquidation Summary'!E35+'Open Summary'!E35+'Closed Summary'!E35+'Estate Closed Summary'!E35+'Released from Oversight Summary'!E35</f>
        <v>606591.51455761492</v>
      </c>
      <c r="F35" s="17">
        <f t="shared" si="0"/>
        <v>9253716.3008217979</v>
      </c>
      <c r="G35" s="3"/>
      <c r="H35" s="10">
        <f>SUM('Alabama Life:Villanova'!K35)</f>
        <v>2023542</v>
      </c>
      <c r="I35" s="7">
        <f>SUM('Alabama Life:Villanova'!L35)</f>
        <v>563123</v>
      </c>
      <c r="J35" s="7"/>
      <c r="K35" s="7">
        <f>SUM('Alabama Life:Villanova'!N35)</f>
        <v>1732000</v>
      </c>
      <c r="L35" s="7">
        <f>SUM('Alabama Life:Villanova'!O35)</f>
        <v>996376</v>
      </c>
      <c r="M35" s="7"/>
      <c r="N35" s="7">
        <f>SUM('Alabama Life:Villanova'!Q35)</f>
        <v>210000</v>
      </c>
      <c r="O35" s="7">
        <f>SUM('Alabama Life:Villanova'!R35)</f>
        <v>0</v>
      </c>
      <c r="P35" s="7"/>
      <c r="Q35" s="7">
        <f>SUM('Alabama Life:Villanova'!T35)</f>
        <v>0</v>
      </c>
      <c r="R35" s="17">
        <f>SUM('Alabama Life:Villanova'!U35)</f>
        <v>0</v>
      </c>
    </row>
    <row r="36" spans="1:18">
      <c r="A36" t="s">
        <v>30</v>
      </c>
      <c r="B36" s="10">
        <f>+'Pre-Liquidation Summary'!B36+'Open Summary'!B36+'Closed Summary'!B36+'Estate Closed Summary'!B36+'Released from Oversight Summary'!B36</f>
        <v>38836026.564367063</v>
      </c>
      <c r="C36" s="7">
        <f>+'Pre-Liquidation Summary'!C36+'Open Summary'!C36+'Closed Summary'!C36+'Estate Closed Summary'!C36+'Released from Oversight Summary'!C36</f>
        <v>108920081.23215474</v>
      </c>
      <c r="D36" s="7">
        <f>+'Pre-Liquidation Summary'!D36+'Open Summary'!D36+'Closed Summary'!D36+'Estate Closed Summary'!D36+'Released from Oversight Summary'!D36</f>
        <v>168850598.51867887</v>
      </c>
      <c r="E36" s="7">
        <f>+'Pre-Liquidation Summary'!E36+'Open Summary'!E36+'Closed Summary'!E36+'Estate Closed Summary'!E36+'Released from Oversight Summary'!E36</f>
        <v>4582161.7726191189</v>
      </c>
      <c r="F36" s="17">
        <f t="shared" si="0"/>
        <v>321188868.08781981</v>
      </c>
      <c r="G36" s="3"/>
      <c r="H36" s="10">
        <f>SUM('Alabama Life:Villanova'!K36)</f>
        <v>42795487</v>
      </c>
      <c r="I36" s="7">
        <f>SUM('Alabama Life:Villanova'!L36)</f>
        <v>6392387</v>
      </c>
      <c r="J36" s="7"/>
      <c r="K36" s="7">
        <f>SUM('Alabama Life:Villanova'!N36)</f>
        <v>48704985</v>
      </c>
      <c r="L36" s="7">
        <f>SUM('Alabama Life:Villanova'!O36)</f>
        <v>9136428</v>
      </c>
      <c r="M36" s="7"/>
      <c r="N36" s="7">
        <f>SUM('Alabama Life:Villanova'!Q36)</f>
        <v>1325000</v>
      </c>
      <c r="O36" s="7">
        <f>SUM('Alabama Life:Villanova'!R36)</f>
        <v>151039</v>
      </c>
      <c r="P36" s="7"/>
      <c r="Q36" s="7">
        <f>SUM('Alabama Life:Villanova'!T36)</f>
        <v>23104352</v>
      </c>
      <c r="R36" s="17">
        <f>SUM('Alabama Life:Villanova'!U36)</f>
        <v>11865605</v>
      </c>
    </row>
    <row r="37" spans="1:18">
      <c r="A37" t="s">
        <v>31</v>
      </c>
      <c r="B37" s="10">
        <f>+'Pre-Liquidation Summary'!B37+'Open Summary'!B37+'Closed Summary'!B37+'Estate Closed Summary'!B37+'Released from Oversight Summary'!B37</f>
        <v>5290352.6530912872</v>
      </c>
      <c r="C37" s="7">
        <f>+'Pre-Liquidation Summary'!C37+'Open Summary'!C37+'Closed Summary'!C37+'Estate Closed Summary'!C37+'Released from Oversight Summary'!C37</f>
        <v>10528744.326923382</v>
      </c>
      <c r="D37" s="7">
        <f>+'Pre-Liquidation Summary'!D37+'Open Summary'!D37+'Closed Summary'!D37+'Estate Closed Summary'!D37+'Released from Oversight Summary'!D37</f>
        <v>9322105.0687159654</v>
      </c>
      <c r="E37" s="7">
        <f>+'Pre-Liquidation Summary'!E37+'Open Summary'!E37+'Closed Summary'!E37+'Estate Closed Summary'!E37+'Released from Oversight Summary'!E37</f>
        <v>0</v>
      </c>
      <c r="F37" s="17">
        <f t="shared" si="0"/>
        <v>25141202.048730634</v>
      </c>
      <c r="G37" s="3"/>
      <c r="H37" s="10">
        <f>SUM('Alabama Life:Villanova'!K37)</f>
        <v>4924513</v>
      </c>
      <c r="I37" s="7">
        <f>SUM('Alabama Life:Villanova'!L37)</f>
        <v>120000</v>
      </c>
      <c r="J37" s="7"/>
      <c r="K37" s="7">
        <f>SUM('Alabama Life:Villanova'!N37)</f>
        <v>7530534</v>
      </c>
      <c r="L37" s="7">
        <f>SUM('Alabama Life:Villanova'!O37)</f>
        <v>0</v>
      </c>
      <c r="M37" s="7"/>
      <c r="N37" s="7">
        <f>SUM('Alabama Life:Villanova'!Q37)</f>
        <v>627376</v>
      </c>
      <c r="O37" s="7">
        <f>SUM('Alabama Life:Villanova'!R37)</f>
        <v>0</v>
      </c>
      <c r="P37" s="7"/>
      <c r="Q37" s="7">
        <f>SUM('Alabama Life:Villanova'!T37)</f>
        <v>0</v>
      </c>
      <c r="R37" s="17">
        <f>SUM('Alabama Life:Villanova'!U37)</f>
        <v>0</v>
      </c>
    </row>
    <row r="38" spans="1:18">
      <c r="A38" t="s">
        <v>32</v>
      </c>
      <c r="B38" s="10">
        <f>+'Pre-Liquidation Summary'!B38+'Open Summary'!B38+'Closed Summary'!B38+'Estate Closed Summary'!B38+'Released from Oversight Summary'!B38</f>
        <v>60561.71675353426</v>
      </c>
      <c r="C38" s="7">
        <f>+'Pre-Liquidation Summary'!C38+'Open Summary'!C38+'Closed Summary'!C38+'Estate Closed Summary'!C38+'Released from Oversight Summary'!C38</f>
        <v>496921946.09353942</v>
      </c>
      <c r="D38" s="7">
        <f>+'Pre-Liquidation Summary'!D38+'Open Summary'!D38+'Closed Summary'!D38+'Estate Closed Summary'!D38+'Released from Oversight Summary'!D38</f>
        <v>-98025.250198327529</v>
      </c>
      <c r="E38" s="7">
        <f>+'Pre-Liquidation Summary'!E38+'Open Summary'!E38+'Closed Summary'!E38+'Estate Closed Summary'!E38+'Released from Oversight Summary'!E38</f>
        <v>-6578.2580156344375</v>
      </c>
      <c r="F38" s="17">
        <f t="shared" ref="F38:F58" si="1">SUM(B38:E38)</f>
        <v>496877904.30207902</v>
      </c>
      <c r="G38" s="3"/>
      <c r="H38" s="10">
        <f>SUM('Alabama Life:Villanova'!K38)</f>
        <v>96499627</v>
      </c>
      <c r="I38" s="7">
        <f>SUM('Alabama Life:Villanova'!L38)</f>
        <v>54000000</v>
      </c>
      <c r="J38" s="7"/>
      <c r="K38" s="7">
        <f>SUM('Alabama Life:Villanova'!N38)</f>
        <v>0</v>
      </c>
      <c r="L38" s="7">
        <f>SUM('Alabama Life:Villanova'!O38)</f>
        <v>0</v>
      </c>
      <c r="M38" s="7"/>
      <c r="N38" s="7">
        <f>SUM('Alabama Life:Villanova'!Q38)</f>
        <v>0</v>
      </c>
      <c r="O38" s="7">
        <f>SUM('Alabama Life:Villanova'!R38)</f>
        <v>0</v>
      </c>
      <c r="P38" s="7"/>
      <c r="Q38" s="7">
        <f>SUM('Alabama Life:Villanova'!T38)</f>
        <v>0</v>
      </c>
      <c r="R38" s="17">
        <f>SUM('Alabama Life:Villanova'!U38)</f>
        <v>0</v>
      </c>
    </row>
    <row r="39" spans="1:18">
      <c r="A39" t="s">
        <v>33</v>
      </c>
      <c r="B39" s="10">
        <f>+'Pre-Liquidation Summary'!B39+'Open Summary'!B39+'Closed Summary'!B39+'Estate Closed Summary'!B39+'Released from Oversight Summary'!B39</f>
        <v>44449860.105403461</v>
      </c>
      <c r="C39" s="7">
        <f>+'Pre-Liquidation Summary'!C39+'Open Summary'!C39+'Closed Summary'!C39+'Estate Closed Summary'!C39+'Released from Oversight Summary'!C39</f>
        <v>104047092.42945853</v>
      </c>
      <c r="D39" s="7">
        <f>+'Pre-Liquidation Summary'!D39+'Open Summary'!D39+'Closed Summary'!D39+'Estate Closed Summary'!D39+'Released from Oversight Summary'!D39</f>
        <v>87851117.336653858</v>
      </c>
      <c r="E39" s="7">
        <f>+'Pre-Liquidation Summary'!E39+'Open Summary'!E39+'Closed Summary'!E39+'Estate Closed Summary'!E39+'Released from Oversight Summary'!E39</f>
        <v>224161.02824368671</v>
      </c>
      <c r="F39" s="17">
        <f t="shared" si="1"/>
        <v>236572230.89975953</v>
      </c>
      <c r="G39" s="3"/>
      <c r="H39" s="10">
        <f>SUM('Alabama Life:Villanova'!K39)</f>
        <v>48827217</v>
      </c>
      <c r="I39" s="7">
        <f>SUM('Alabama Life:Villanova'!L39)</f>
        <v>7163500</v>
      </c>
      <c r="J39" s="7"/>
      <c r="K39" s="7">
        <f>SUM('Alabama Life:Villanova'!N39)</f>
        <v>98747783</v>
      </c>
      <c r="L39" s="7">
        <f>SUM('Alabama Life:Villanova'!O39)</f>
        <v>16243750</v>
      </c>
      <c r="M39" s="7"/>
      <c r="N39" s="7">
        <f>SUM('Alabama Life:Villanova'!Q39)</f>
        <v>2310000</v>
      </c>
      <c r="O39" s="7">
        <f>SUM('Alabama Life:Villanova'!R39)</f>
        <v>0</v>
      </c>
      <c r="P39" s="7"/>
      <c r="Q39" s="7">
        <f>SUM('Alabama Life:Villanova'!T39)</f>
        <v>0</v>
      </c>
      <c r="R39" s="17">
        <f>SUM('Alabama Life:Villanova'!U39)</f>
        <v>0</v>
      </c>
    </row>
    <row r="40" spans="1:18">
      <c r="A40" t="s">
        <v>34</v>
      </c>
      <c r="B40" s="10">
        <f>+'Pre-Liquidation Summary'!B40+'Open Summary'!B40+'Closed Summary'!B40+'Estate Closed Summary'!B40+'Released from Oversight Summary'!B40</f>
        <v>4122699.9828961468</v>
      </c>
      <c r="C40" s="7">
        <f>+'Pre-Liquidation Summary'!C40+'Open Summary'!C40+'Closed Summary'!C40+'Estate Closed Summary'!C40+'Released from Oversight Summary'!C40</f>
        <v>7271289.2426198795</v>
      </c>
      <c r="D40" s="7">
        <f>+'Pre-Liquidation Summary'!D40+'Open Summary'!D40+'Closed Summary'!D40+'Estate Closed Summary'!D40+'Released from Oversight Summary'!D40</f>
        <v>5817851.4150011186</v>
      </c>
      <c r="E40" s="7">
        <f>+'Pre-Liquidation Summary'!E40+'Open Summary'!E40+'Closed Summary'!E40+'Estate Closed Summary'!E40+'Released from Oversight Summary'!E40</f>
        <v>28895.566860911527</v>
      </c>
      <c r="F40" s="17">
        <f t="shared" si="1"/>
        <v>17240736.207378056</v>
      </c>
      <c r="G40" s="3"/>
      <c r="H40" s="10">
        <f>SUM('Alabama Life:Villanova'!K40)</f>
        <v>4999898</v>
      </c>
      <c r="I40" s="7">
        <f>SUM('Alabama Life:Villanova'!L40)</f>
        <v>423000</v>
      </c>
      <c r="J40" s="7"/>
      <c r="K40" s="7">
        <f>SUM('Alabama Life:Villanova'!N40)</f>
        <v>7798336</v>
      </c>
      <c r="L40" s="7">
        <f>SUM('Alabama Life:Villanova'!O40)</f>
        <v>277400</v>
      </c>
      <c r="M40" s="7"/>
      <c r="N40" s="7">
        <f>SUM('Alabama Life:Villanova'!Q40)</f>
        <v>3253092</v>
      </c>
      <c r="O40" s="7">
        <f>SUM('Alabama Life:Villanova'!R40)</f>
        <v>924599</v>
      </c>
      <c r="P40" s="7"/>
      <c r="Q40" s="7">
        <f>SUM('Alabama Life:Villanova'!T40)</f>
        <v>104738</v>
      </c>
      <c r="R40" s="17">
        <f>SUM('Alabama Life:Villanova'!U40)</f>
        <v>0</v>
      </c>
    </row>
    <row r="41" spans="1:18">
      <c r="A41" t="s">
        <v>35</v>
      </c>
      <c r="B41" s="10">
        <f>+'Pre-Liquidation Summary'!B41+'Open Summary'!B41+'Closed Summary'!B41+'Estate Closed Summary'!B41+'Released from Oversight Summary'!B41</f>
        <v>53738827.602802165</v>
      </c>
      <c r="C41" s="7">
        <f>+'Pre-Liquidation Summary'!C41+'Open Summary'!C41+'Closed Summary'!C41+'Estate Closed Summary'!C41+'Released from Oversight Summary'!C41</f>
        <v>63042359.095131822</v>
      </c>
      <c r="D41" s="7">
        <f>+'Pre-Liquidation Summary'!D41+'Open Summary'!D41+'Closed Summary'!D41+'Estate Closed Summary'!D41+'Released from Oversight Summary'!D41</f>
        <v>46633060.230902754</v>
      </c>
      <c r="E41" s="7">
        <f>+'Pre-Liquidation Summary'!E41+'Open Summary'!E41+'Closed Summary'!E41+'Estate Closed Summary'!E41+'Released from Oversight Summary'!E41</f>
        <v>2320368.1957680094</v>
      </c>
      <c r="F41" s="17">
        <f t="shared" si="1"/>
        <v>165734615.12460473</v>
      </c>
      <c r="G41" s="3"/>
      <c r="H41" s="10">
        <f>SUM('Alabama Life:Villanova'!K41)</f>
        <v>46900000</v>
      </c>
      <c r="I41" s="7">
        <f>SUM('Alabama Life:Villanova'!L41)</f>
        <v>0</v>
      </c>
      <c r="J41" s="7"/>
      <c r="K41" s="7">
        <f>SUM('Alabama Life:Villanova'!N41)</f>
        <v>54445000</v>
      </c>
      <c r="L41" s="7">
        <f>SUM('Alabama Life:Villanova'!O41)</f>
        <v>0</v>
      </c>
      <c r="M41" s="7"/>
      <c r="N41" s="7">
        <f>SUM('Alabama Life:Villanova'!Q41)</f>
        <v>7865000</v>
      </c>
      <c r="O41" s="7">
        <f>SUM('Alabama Life:Villanova'!R41)</f>
        <v>0</v>
      </c>
      <c r="P41" s="7"/>
      <c r="Q41" s="7">
        <f>SUM('Alabama Life:Villanova'!T41)</f>
        <v>7875000</v>
      </c>
      <c r="R41" s="17">
        <f>SUM('Alabama Life:Villanova'!U41)</f>
        <v>0</v>
      </c>
    </row>
    <row r="42" spans="1:18">
      <c r="A42" t="s">
        <v>36</v>
      </c>
      <c r="B42" s="10">
        <f>+'Pre-Liquidation Summary'!B42+'Open Summary'!B42+'Closed Summary'!B42+'Estate Closed Summary'!B42+'Released from Oversight Summary'!B42</f>
        <v>34700857.790494874</v>
      </c>
      <c r="C42" s="7">
        <f>+'Pre-Liquidation Summary'!C42+'Open Summary'!C42+'Closed Summary'!C42+'Estate Closed Summary'!C42+'Released from Oversight Summary'!C42</f>
        <v>34964930.925726838</v>
      </c>
      <c r="D42" s="7">
        <f>+'Pre-Liquidation Summary'!D42+'Open Summary'!D42+'Closed Summary'!D42+'Estate Closed Summary'!D42+'Released from Oversight Summary'!D42</f>
        <v>15204012.84988546</v>
      </c>
      <c r="E42" s="7">
        <f>+'Pre-Liquidation Summary'!E42+'Open Summary'!E42+'Closed Summary'!E42+'Estate Closed Summary'!E42+'Released from Oversight Summary'!E42</f>
        <v>0</v>
      </c>
      <c r="F42" s="17">
        <f t="shared" si="1"/>
        <v>84869801.566107184</v>
      </c>
      <c r="G42" s="3"/>
      <c r="H42" s="10">
        <f>SUM('Alabama Life:Villanova'!K42)</f>
        <v>41809843</v>
      </c>
      <c r="I42" s="7">
        <f>SUM('Alabama Life:Villanova'!L42)</f>
        <v>14456850</v>
      </c>
      <c r="J42" s="7"/>
      <c r="K42" s="7">
        <f>SUM('Alabama Life:Villanova'!N42)</f>
        <v>36118738</v>
      </c>
      <c r="L42" s="7">
        <f>SUM('Alabama Life:Villanova'!O42)</f>
        <v>5517650</v>
      </c>
      <c r="M42" s="7"/>
      <c r="N42" s="7">
        <f>SUM('Alabama Life:Villanova'!Q42)</f>
        <v>13495550</v>
      </c>
      <c r="O42" s="7">
        <f>SUM('Alabama Life:Villanova'!R42)</f>
        <v>7752000</v>
      </c>
      <c r="P42" s="7"/>
      <c r="Q42" s="7">
        <f>SUM('Alabama Life:Villanova'!T42)</f>
        <v>0</v>
      </c>
      <c r="R42" s="17">
        <f>SUM('Alabama Life:Villanova'!U42)</f>
        <v>0</v>
      </c>
    </row>
    <row r="43" spans="1:18">
      <c r="A43" t="s">
        <v>37</v>
      </c>
      <c r="B43" s="10">
        <f>+'Pre-Liquidation Summary'!B43+'Open Summary'!B43+'Closed Summary'!B43+'Estate Closed Summary'!B43+'Released from Oversight Summary'!B43</f>
        <v>17600155.980491534</v>
      </c>
      <c r="C43" s="7">
        <f>+'Pre-Liquidation Summary'!C43+'Open Summary'!C43+'Closed Summary'!C43+'Estate Closed Summary'!C43+'Released from Oversight Summary'!C43</f>
        <v>20136519.196160018</v>
      </c>
      <c r="D43" s="7">
        <f>+'Pre-Liquidation Summary'!D43+'Open Summary'!D43+'Closed Summary'!D43+'Estate Closed Summary'!D43+'Released from Oversight Summary'!D43</f>
        <v>7412758.0317417672</v>
      </c>
      <c r="E43" s="7">
        <f>+'Pre-Liquidation Summary'!E43+'Open Summary'!E43+'Closed Summary'!E43+'Estate Closed Summary'!E43+'Released from Oversight Summary'!E43</f>
        <v>0</v>
      </c>
      <c r="F43" s="17">
        <f t="shared" si="1"/>
        <v>45149433.20839332</v>
      </c>
      <c r="G43" s="3"/>
      <c r="H43" s="10">
        <f>SUM('Alabama Life:Villanova'!K43)</f>
        <v>19068901</v>
      </c>
      <c r="I43" s="7">
        <f>SUM('Alabama Life:Villanova'!L43)</f>
        <v>0</v>
      </c>
      <c r="J43" s="7"/>
      <c r="K43" s="7">
        <f>SUM('Alabama Life:Villanova'!N43)</f>
        <v>20140366</v>
      </c>
      <c r="L43" s="7">
        <f>SUM('Alabama Life:Villanova'!O43)</f>
        <v>0</v>
      </c>
      <c r="M43" s="7"/>
      <c r="N43" s="7">
        <f>SUM('Alabama Life:Villanova'!Q43)</f>
        <v>1688644</v>
      </c>
      <c r="O43" s="7">
        <f>SUM('Alabama Life:Villanova'!R43)</f>
        <v>0</v>
      </c>
      <c r="P43" s="7"/>
      <c r="Q43" s="7">
        <f>SUM('Alabama Life:Villanova'!T43)</f>
        <v>0</v>
      </c>
      <c r="R43" s="17">
        <f>SUM('Alabama Life:Villanova'!U43)</f>
        <v>0</v>
      </c>
    </row>
    <row r="44" spans="1:18">
      <c r="A44" t="s">
        <v>38</v>
      </c>
      <c r="B44" s="10">
        <f>+'Pre-Liquidation Summary'!B44+'Open Summary'!B44+'Closed Summary'!B44+'Estate Closed Summary'!B44+'Released from Oversight Summary'!B44</f>
        <v>71823713.222408891</v>
      </c>
      <c r="C44" s="7">
        <f>+'Pre-Liquidation Summary'!C44+'Open Summary'!C44+'Closed Summary'!C44+'Estate Closed Summary'!C44+'Released from Oversight Summary'!C44</f>
        <v>397539615.68650597</v>
      </c>
      <c r="D44" s="7">
        <f>+'Pre-Liquidation Summary'!D44+'Open Summary'!D44+'Closed Summary'!D44+'Estate Closed Summary'!D44+'Released from Oversight Summary'!D44</f>
        <v>258449387.74282363</v>
      </c>
      <c r="E44" s="7">
        <f>+'Pre-Liquidation Summary'!E44+'Open Summary'!E44+'Closed Summary'!E44+'Estate Closed Summary'!E44+'Released from Oversight Summary'!E44</f>
        <v>1546153.2060595839</v>
      </c>
      <c r="F44" s="17">
        <f t="shared" si="1"/>
        <v>729358869.8577981</v>
      </c>
      <c r="G44" s="3"/>
      <c r="H44" s="10">
        <f>SUM('Alabama Life:Villanova'!K44)</f>
        <v>155432407</v>
      </c>
      <c r="I44" s="7">
        <f>SUM('Alabama Life:Villanova'!L44)</f>
        <v>0</v>
      </c>
      <c r="J44" s="7"/>
      <c r="K44" s="7">
        <f>SUM('Alabama Life:Villanova'!N44)</f>
        <v>232347862</v>
      </c>
      <c r="L44" s="7">
        <f>SUM('Alabama Life:Villanova'!O44)</f>
        <v>0</v>
      </c>
      <c r="M44" s="7"/>
      <c r="N44" s="7">
        <f>SUM('Alabama Life:Villanova'!Q44)</f>
        <v>2553470</v>
      </c>
      <c r="O44" s="7">
        <f>SUM('Alabama Life:Villanova'!R44)</f>
        <v>0</v>
      </c>
      <c r="P44" s="7"/>
      <c r="Q44" s="7">
        <f>SUM('Alabama Life:Villanova'!T44)</f>
        <v>100058938</v>
      </c>
      <c r="R44" s="17">
        <f>SUM('Alabama Life:Villanova'!U44)</f>
        <v>0</v>
      </c>
    </row>
    <row r="45" spans="1:18">
      <c r="A45" t="s">
        <v>39</v>
      </c>
      <c r="B45" s="10">
        <f>+'Pre-Liquidation Summary'!B45+'Open Summary'!B45+'Closed Summary'!B45+'Estate Closed Summary'!B45+'Released from Oversight Summary'!B45</f>
        <v>700690.34884137567</v>
      </c>
      <c r="C45" s="7">
        <f>+'Pre-Liquidation Summary'!C45+'Open Summary'!C45+'Closed Summary'!C45+'Estate Closed Summary'!C45+'Released from Oversight Summary'!C45</f>
        <v>566382.16933187493</v>
      </c>
      <c r="D45" s="7">
        <f>+'Pre-Liquidation Summary'!D45+'Open Summary'!D45+'Closed Summary'!D45+'Estate Closed Summary'!D45+'Released from Oversight Summary'!D45</f>
        <v>-7482.7757975022587</v>
      </c>
      <c r="E45" s="7">
        <f>+'Pre-Liquidation Summary'!E45+'Open Summary'!E45+'Closed Summary'!E45+'Estate Closed Summary'!E45+'Released from Oversight Summary'!E45</f>
        <v>0</v>
      </c>
      <c r="F45" s="17">
        <f t="shared" si="1"/>
        <v>1259589.7423757482</v>
      </c>
      <c r="G45" s="3"/>
      <c r="H45" s="10">
        <f>SUM('Alabama Life:Villanova'!K45)</f>
        <v>622778</v>
      </c>
      <c r="I45" s="7">
        <f>SUM('Alabama Life:Villanova'!L45)</f>
        <v>0</v>
      </c>
      <c r="J45" s="7"/>
      <c r="K45" s="7">
        <f>SUM('Alabama Life:Villanova'!N45)</f>
        <v>387497</v>
      </c>
      <c r="L45" s="7">
        <f>SUM('Alabama Life:Villanova'!O45)</f>
        <v>0</v>
      </c>
      <c r="M45" s="7"/>
      <c r="N45" s="7">
        <f>SUM('Alabama Life:Villanova'!Q45)</f>
        <v>108788</v>
      </c>
      <c r="O45" s="7">
        <f>SUM('Alabama Life:Villanova'!R45)</f>
        <v>0</v>
      </c>
      <c r="P45" s="7"/>
      <c r="Q45" s="7">
        <f>SUM('Alabama Life:Villanova'!T45)</f>
        <v>0</v>
      </c>
      <c r="R45" s="17">
        <f>SUM('Alabama Life:Villanova'!U45)</f>
        <v>0</v>
      </c>
    </row>
    <row r="46" spans="1:18">
      <c r="A46" t="s">
        <v>40</v>
      </c>
      <c r="B46" s="10">
        <f>+'Pre-Liquidation Summary'!B46+'Open Summary'!B46+'Closed Summary'!B46+'Estate Closed Summary'!B46+'Released from Oversight Summary'!B46</f>
        <v>3532791.457202435</v>
      </c>
      <c r="C46" s="7">
        <f>+'Pre-Liquidation Summary'!C46+'Open Summary'!C46+'Closed Summary'!C46+'Estate Closed Summary'!C46+'Released from Oversight Summary'!C46</f>
        <v>27005012.05576371</v>
      </c>
      <c r="D46" s="7">
        <f>+'Pre-Liquidation Summary'!D46+'Open Summary'!D46+'Closed Summary'!D46+'Estate Closed Summary'!D46+'Released from Oversight Summary'!D46</f>
        <v>1939710.6620144937</v>
      </c>
      <c r="E46" s="7">
        <f>+'Pre-Liquidation Summary'!E46+'Open Summary'!E46+'Closed Summary'!E46+'Estate Closed Summary'!E46+'Released from Oversight Summary'!E46</f>
        <v>0</v>
      </c>
      <c r="F46" s="17">
        <f t="shared" si="1"/>
        <v>32477514.17498064</v>
      </c>
      <c r="G46" s="3"/>
      <c r="H46" s="10">
        <f>SUM('Alabama Life:Villanova'!K46)</f>
        <v>2864837</v>
      </c>
      <c r="I46" s="7">
        <f>SUM('Alabama Life:Villanova'!L46)</f>
        <v>0</v>
      </c>
      <c r="J46" s="7"/>
      <c r="K46" s="7">
        <f>SUM('Alabama Life:Villanova'!N46)</f>
        <v>16281497</v>
      </c>
      <c r="L46" s="7">
        <f>SUM('Alabama Life:Villanova'!O46)</f>
        <v>0</v>
      </c>
      <c r="M46" s="7"/>
      <c r="N46" s="7">
        <f>SUM('Alabama Life:Villanova'!Q46)</f>
        <v>428700</v>
      </c>
      <c r="O46" s="7">
        <f>SUM('Alabama Life:Villanova'!R46)</f>
        <v>0</v>
      </c>
      <c r="P46" s="7"/>
      <c r="Q46" s="7">
        <f>SUM('Alabama Life:Villanova'!T46)</f>
        <v>0</v>
      </c>
      <c r="R46" s="17">
        <f>SUM('Alabama Life:Villanova'!U46)</f>
        <v>0</v>
      </c>
    </row>
    <row r="47" spans="1:18">
      <c r="A47" t="s">
        <v>41</v>
      </c>
      <c r="B47" s="10">
        <f>+'Pre-Liquidation Summary'!B47+'Open Summary'!B47+'Closed Summary'!B47+'Estate Closed Summary'!B47+'Released from Oversight Summary'!B47</f>
        <v>22250603.012046076</v>
      </c>
      <c r="C47" s="7">
        <f>+'Pre-Liquidation Summary'!C47+'Open Summary'!C47+'Closed Summary'!C47+'Estate Closed Summary'!C47+'Released from Oversight Summary'!C47</f>
        <v>30960008.775847305</v>
      </c>
      <c r="D47" s="7">
        <f>+'Pre-Liquidation Summary'!D47+'Open Summary'!D47+'Closed Summary'!D47+'Estate Closed Summary'!D47+'Released from Oversight Summary'!D47</f>
        <v>20695454.413157985</v>
      </c>
      <c r="E47" s="7">
        <f>+'Pre-Liquidation Summary'!E47+'Open Summary'!E47+'Closed Summary'!E47+'Estate Closed Summary'!E47+'Released from Oversight Summary'!E47</f>
        <v>0</v>
      </c>
      <c r="F47" s="17">
        <f t="shared" si="1"/>
        <v>73906066.201051369</v>
      </c>
      <c r="G47" s="3"/>
      <c r="H47" s="10">
        <f>SUM('Alabama Life:Villanova'!K47)</f>
        <v>22736843</v>
      </c>
      <c r="I47" s="7">
        <f>SUM('Alabama Life:Villanova'!L47)</f>
        <v>0</v>
      </c>
      <c r="J47" s="7"/>
      <c r="K47" s="7">
        <f>SUM('Alabama Life:Villanova'!N47)</f>
        <v>29314306</v>
      </c>
      <c r="L47" s="7">
        <f>SUM('Alabama Life:Villanova'!O47)</f>
        <v>0</v>
      </c>
      <c r="M47" s="7"/>
      <c r="N47" s="7">
        <f>SUM('Alabama Life:Villanova'!Q47)</f>
        <v>4200000</v>
      </c>
      <c r="O47" s="7">
        <f>SUM('Alabama Life:Villanova'!R47)</f>
        <v>0</v>
      </c>
      <c r="P47" s="7"/>
      <c r="Q47" s="7">
        <f>SUM('Alabama Life:Villanova'!T47)</f>
        <v>0</v>
      </c>
      <c r="R47" s="17">
        <f>SUM('Alabama Life:Villanova'!U47)</f>
        <v>0</v>
      </c>
    </row>
    <row r="48" spans="1:18">
      <c r="A48" t="s">
        <v>42</v>
      </c>
      <c r="B48" s="10">
        <f>+'Pre-Liquidation Summary'!B48+'Open Summary'!B48+'Closed Summary'!B48+'Estate Closed Summary'!B48+'Released from Oversight Summary'!B48</f>
        <v>7590677.6276814751</v>
      </c>
      <c r="C48" s="7">
        <f>+'Pre-Liquidation Summary'!C48+'Open Summary'!C48+'Closed Summary'!C48+'Estate Closed Summary'!C48+'Released from Oversight Summary'!C48</f>
        <v>5703489.6312933071</v>
      </c>
      <c r="D48" s="7">
        <f>+'Pre-Liquidation Summary'!D48+'Open Summary'!D48+'Closed Summary'!D48+'Estate Closed Summary'!D48+'Released from Oversight Summary'!D48</f>
        <v>36602761.849659078</v>
      </c>
      <c r="E48" s="7">
        <f>+'Pre-Liquidation Summary'!E48+'Open Summary'!E48+'Closed Summary'!E48+'Estate Closed Summary'!E48+'Released from Oversight Summary'!E48</f>
        <v>0</v>
      </c>
      <c r="F48" s="17">
        <f t="shared" si="1"/>
        <v>49896929.108633861</v>
      </c>
      <c r="G48" s="3"/>
      <c r="H48" s="10">
        <f>SUM('Alabama Life:Villanova'!K48)</f>
        <v>10700802</v>
      </c>
      <c r="I48" s="7">
        <f>SUM('Alabama Life:Villanova'!L48)</f>
        <v>3424511</v>
      </c>
      <c r="J48" s="7"/>
      <c r="K48" s="7">
        <f>SUM('Alabama Life:Villanova'!N48)</f>
        <v>7530701</v>
      </c>
      <c r="L48" s="7">
        <f>SUM('Alabama Life:Villanova'!O48)</f>
        <v>2698921</v>
      </c>
      <c r="M48" s="7"/>
      <c r="N48" s="7">
        <f>SUM('Alabama Life:Villanova'!Q48)</f>
        <v>4091897</v>
      </c>
      <c r="O48" s="7">
        <f>SUM('Alabama Life:Villanova'!R48)</f>
        <v>1475000</v>
      </c>
      <c r="P48" s="7"/>
      <c r="Q48" s="7">
        <f>SUM('Alabama Life:Villanova'!T48)</f>
        <v>0</v>
      </c>
      <c r="R48" s="17">
        <f>SUM('Alabama Life:Villanova'!U48)</f>
        <v>0</v>
      </c>
    </row>
    <row r="49" spans="1:18">
      <c r="A49" t="s">
        <v>43</v>
      </c>
      <c r="B49" s="10">
        <f>+'Pre-Liquidation Summary'!B49+'Open Summary'!B49+'Closed Summary'!B49+'Estate Closed Summary'!B49+'Released from Oversight Summary'!B49</f>
        <v>37544577.308803096</v>
      </c>
      <c r="C49" s="7">
        <f>+'Pre-Liquidation Summary'!C49+'Open Summary'!C49+'Closed Summary'!C49+'Estate Closed Summary'!C49+'Released from Oversight Summary'!C49</f>
        <v>30866871.109523747</v>
      </c>
      <c r="D49" s="7">
        <f>+'Pre-Liquidation Summary'!D49+'Open Summary'!D49+'Closed Summary'!D49+'Estate Closed Summary'!D49+'Released from Oversight Summary'!D49</f>
        <v>45538180.147947751</v>
      </c>
      <c r="E49" s="7">
        <f>+'Pre-Liquidation Summary'!E49+'Open Summary'!E49+'Closed Summary'!E49+'Estate Closed Summary'!E49+'Released from Oversight Summary'!E49</f>
        <v>0</v>
      </c>
      <c r="F49" s="17">
        <f t="shared" si="1"/>
        <v>113949628.56627458</v>
      </c>
      <c r="G49" s="3"/>
      <c r="H49" s="10">
        <f>SUM('Alabama Life:Villanova'!K49)</f>
        <v>32793000</v>
      </c>
      <c r="I49" s="7">
        <f>SUM('Alabama Life:Villanova'!L49)</f>
        <v>0</v>
      </c>
      <c r="J49" s="7"/>
      <c r="K49" s="7">
        <f>SUM('Alabama Life:Villanova'!N49)</f>
        <v>41502000</v>
      </c>
      <c r="L49" s="7">
        <f>SUM('Alabama Life:Villanova'!O49)</f>
        <v>0</v>
      </c>
      <c r="M49" s="7"/>
      <c r="N49" s="7">
        <f>SUM('Alabama Life:Villanova'!Q49)</f>
        <v>7866000</v>
      </c>
      <c r="O49" s="7">
        <f>SUM('Alabama Life:Villanova'!R49)</f>
        <v>0</v>
      </c>
      <c r="P49" s="7"/>
      <c r="Q49" s="7">
        <f>SUM('Alabama Life:Villanova'!T49)</f>
        <v>0</v>
      </c>
      <c r="R49" s="17">
        <f>SUM('Alabama Life:Villanova'!U49)</f>
        <v>0</v>
      </c>
    </row>
    <row r="50" spans="1:18">
      <c r="A50" t="s">
        <v>44</v>
      </c>
      <c r="B50" s="10">
        <f>+'Pre-Liquidation Summary'!B50+'Open Summary'!B50+'Closed Summary'!B50+'Estate Closed Summary'!B50+'Released from Oversight Summary'!B50</f>
        <v>231763501.05384004</v>
      </c>
      <c r="C50" s="7">
        <f>+'Pre-Liquidation Summary'!C50+'Open Summary'!C50+'Closed Summary'!C50+'Estate Closed Summary'!C50+'Released from Oversight Summary'!C50</f>
        <v>191576416.3254129</v>
      </c>
      <c r="D50" s="7">
        <f>+'Pre-Liquidation Summary'!D50+'Open Summary'!D50+'Closed Summary'!D50+'Estate Closed Summary'!D50+'Released from Oversight Summary'!D50</f>
        <v>138178745.0363006</v>
      </c>
      <c r="E50" s="7">
        <f>+'Pre-Liquidation Summary'!E50+'Open Summary'!E50+'Closed Summary'!E50+'Estate Closed Summary'!E50+'Released from Oversight Summary'!E50</f>
        <v>14441119.228866566</v>
      </c>
      <c r="F50" s="17">
        <f t="shared" si="1"/>
        <v>575959781.64442015</v>
      </c>
      <c r="G50" s="3"/>
      <c r="H50" s="10">
        <f>SUM('Alabama Life:Villanova'!K50)</f>
        <v>299411792</v>
      </c>
      <c r="I50" s="7">
        <f>SUM('Alabama Life:Villanova'!L50)</f>
        <v>42767050.775959566</v>
      </c>
      <c r="J50" s="7"/>
      <c r="K50" s="7">
        <f>SUM('Alabama Life:Villanova'!N50)</f>
        <v>142668069</v>
      </c>
      <c r="L50" s="7">
        <f>SUM('Alabama Life:Villanova'!O50)</f>
        <v>22332155.894278437</v>
      </c>
      <c r="M50" s="7"/>
      <c r="N50" s="7">
        <f>SUM('Alabama Life:Villanova'!Q50)</f>
        <v>52313795.5</v>
      </c>
      <c r="O50" s="7">
        <f>SUM('Alabama Life:Villanova'!R50)</f>
        <v>18088923.929761998</v>
      </c>
      <c r="P50" s="7"/>
      <c r="Q50" s="7">
        <f>SUM('Alabama Life:Villanova'!T50)</f>
        <v>0</v>
      </c>
      <c r="R50" s="17">
        <f>SUM('Alabama Life:Villanova'!U50)</f>
        <v>0</v>
      </c>
    </row>
    <row r="51" spans="1:18">
      <c r="A51" t="s">
        <v>45</v>
      </c>
      <c r="B51" s="10">
        <f>+'Pre-Liquidation Summary'!B51+'Open Summary'!B51+'Closed Summary'!B51+'Estate Closed Summary'!B51+'Released from Oversight Summary'!B51</f>
        <v>9337715.2320800759</v>
      </c>
      <c r="C51" s="7">
        <f>+'Pre-Liquidation Summary'!C51+'Open Summary'!C51+'Closed Summary'!C51+'Estate Closed Summary'!C51+'Released from Oversight Summary'!C51</f>
        <v>9027493.5329510085</v>
      </c>
      <c r="D51" s="7">
        <f>+'Pre-Liquidation Summary'!D51+'Open Summary'!D51+'Closed Summary'!D51+'Estate Closed Summary'!D51+'Released from Oversight Summary'!D51</f>
        <v>11560347.731607942</v>
      </c>
      <c r="E51" s="7">
        <f>+'Pre-Liquidation Summary'!E51+'Open Summary'!E51+'Closed Summary'!E51+'Estate Closed Summary'!E51+'Released from Oversight Summary'!E51</f>
        <v>245257.28287236227</v>
      </c>
      <c r="F51" s="17">
        <f t="shared" si="1"/>
        <v>30170813.779511392</v>
      </c>
      <c r="G51" s="3"/>
      <c r="H51" s="10">
        <f>SUM('Alabama Life:Villanova'!K51)</f>
        <v>16880549</v>
      </c>
      <c r="I51" s="7">
        <f>SUM('Alabama Life:Villanova'!L51)</f>
        <v>7669846</v>
      </c>
      <c r="J51" s="7"/>
      <c r="K51" s="7">
        <f>SUM('Alabama Life:Villanova'!N51)</f>
        <v>12534100</v>
      </c>
      <c r="L51" s="7">
        <f>SUM('Alabama Life:Villanova'!O51)</f>
        <v>4124184</v>
      </c>
      <c r="M51" s="7"/>
      <c r="N51" s="7">
        <f>SUM('Alabama Life:Villanova'!Q51)</f>
        <v>1603796</v>
      </c>
      <c r="O51" s="7">
        <f>SUM('Alabama Life:Villanova'!R51)</f>
        <v>0</v>
      </c>
      <c r="P51" s="7"/>
      <c r="Q51" s="7">
        <f>SUM('Alabama Life:Villanova'!T51)</f>
        <v>3050000</v>
      </c>
      <c r="R51" s="17">
        <f>SUM('Alabama Life:Villanova'!U51)</f>
        <v>4549252</v>
      </c>
    </row>
    <row r="52" spans="1:18">
      <c r="A52" t="s">
        <v>46</v>
      </c>
      <c r="B52" s="10">
        <f>+'Pre-Liquidation Summary'!B52+'Open Summary'!B52+'Closed Summary'!B52+'Estate Closed Summary'!B52+'Released from Oversight Summary'!B52</f>
        <v>177193.67827692695</v>
      </c>
      <c r="C52" s="7">
        <f>+'Pre-Liquidation Summary'!C52+'Open Summary'!C52+'Closed Summary'!C52+'Estate Closed Summary'!C52+'Released from Oversight Summary'!C52</f>
        <v>1149311.6855535209</v>
      </c>
      <c r="D52" s="7">
        <f>+'Pre-Liquidation Summary'!D52+'Open Summary'!D52+'Closed Summary'!D52+'Estate Closed Summary'!D52+'Released from Oversight Summary'!D52</f>
        <v>8733703.0111312289</v>
      </c>
      <c r="E52" s="7">
        <f>+'Pre-Liquidation Summary'!E52+'Open Summary'!E52+'Closed Summary'!E52+'Estate Closed Summary'!E52+'Released from Oversight Summary'!E52</f>
        <v>-3802.04741033553</v>
      </c>
      <c r="F52" s="17">
        <f t="shared" si="1"/>
        <v>10056406.327551341</v>
      </c>
      <c r="G52" s="3"/>
      <c r="H52" s="10">
        <f>SUM('Alabama Life:Villanova'!K52)</f>
        <v>428664</v>
      </c>
      <c r="I52" s="7">
        <f>SUM('Alabama Life:Villanova'!L52)</f>
        <v>0</v>
      </c>
      <c r="J52" s="7"/>
      <c r="K52" s="7">
        <f>SUM('Alabama Life:Villanova'!N52)</f>
        <v>519856</v>
      </c>
      <c r="L52" s="7">
        <f>SUM('Alabama Life:Villanova'!O52)</f>
        <v>0</v>
      </c>
      <c r="M52" s="7"/>
      <c r="N52" s="7">
        <f>SUM('Alabama Life:Villanova'!Q52)</f>
        <v>177500</v>
      </c>
      <c r="O52" s="7">
        <f>SUM('Alabama Life:Villanova'!R52)</f>
        <v>0</v>
      </c>
      <c r="P52" s="7"/>
      <c r="Q52" s="7">
        <f>SUM('Alabama Life:Villanova'!T52)</f>
        <v>0</v>
      </c>
      <c r="R52" s="17">
        <f>SUM('Alabama Life:Villanova'!U52)</f>
        <v>0</v>
      </c>
    </row>
    <row r="53" spans="1:18">
      <c r="A53" t="s">
        <v>47</v>
      </c>
      <c r="B53" s="10">
        <f>+'Pre-Liquidation Summary'!B53+'Open Summary'!B53+'Closed Summary'!B53+'Estate Closed Summary'!B53+'Released from Oversight Summary'!B53</f>
        <v>13823770.568239775</v>
      </c>
      <c r="C53" s="7">
        <f>+'Pre-Liquidation Summary'!C53+'Open Summary'!C53+'Closed Summary'!C53+'Estate Closed Summary'!C53+'Released from Oversight Summary'!C53</f>
        <v>34163620.872941308</v>
      </c>
      <c r="D53" s="7">
        <f>+'Pre-Liquidation Summary'!D53+'Open Summary'!D53+'Closed Summary'!D53+'Estate Closed Summary'!D53+'Released from Oversight Summary'!D53</f>
        <v>170909496.10267124</v>
      </c>
      <c r="E53" s="7">
        <f>+'Pre-Liquidation Summary'!E53+'Open Summary'!E53+'Closed Summary'!E53+'Estate Closed Summary'!E53+'Released from Oversight Summary'!E53</f>
        <v>0</v>
      </c>
      <c r="F53" s="17">
        <f t="shared" si="1"/>
        <v>218896887.54385233</v>
      </c>
      <c r="G53" s="3"/>
      <c r="H53" s="10">
        <f>SUM('Alabama Life:Villanova'!K53)</f>
        <v>24288697</v>
      </c>
      <c r="I53" s="7">
        <f>SUM('Alabama Life:Villanova'!L53)</f>
        <v>9858881</v>
      </c>
      <c r="J53" s="7"/>
      <c r="K53" s="7">
        <f>SUM('Alabama Life:Villanova'!N53)</f>
        <v>34017690</v>
      </c>
      <c r="L53" s="7">
        <f>SUM('Alabama Life:Villanova'!O53)</f>
        <v>15978803</v>
      </c>
      <c r="M53" s="7"/>
      <c r="N53" s="7">
        <f>SUM('Alabama Life:Villanova'!Q53)</f>
        <v>3958086</v>
      </c>
      <c r="O53" s="7">
        <f>SUM('Alabama Life:Villanova'!R53)</f>
        <v>1787431</v>
      </c>
      <c r="P53" s="7"/>
      <c r="Q53" s="7">
        <f>SUM('Alabama Life:Villanova'!T53)</f>
        <v>0</v>
      </c>
      <c r="R53" s="17">
        <f>SUM('Alabama Life:Villanova'!U53)</f>
        <v>0</v>
      </c>
    </row>
    <row r="54" spans="1:18">
      <c r="A54" t="s">
        <v>48</v>
      </c>
      <c r="B54" s="10">
        <f>+'Pre-Liquidation Summary'!B54+'Open Summary'!B54+'Closed Summary'!B54+'Estate Closed Summary'!B54+'Released from Oversight Summary'!B54</f>
        <v>38404214.305680975</v>
      </c>
      <c r="C54" s="7">
        <f>+'Pre-Liquidation Summary'!C54+'Open Summary'!C54+'Closed Summary'!C54+'Estate Closed Summary'!C54+'Released from Oversight Summary'!C54</f>
        <v>79102344.136953458</v>
      </c>
      <c r="D54" s="7">
        <f>+'Pre-Liquidation Summary'!D54+'Open Summary'!D54+'Closed Summary'!D54+'Estate Closed Summary'!D54+'Released from Oversight Summary'!D54</f>
        <v>112584646.05882008</v>
      </c>
      <c r="E54" s="7">
        <f>+'Pre-Liquidation Summary'!E54+'Open Summary'!E54+'Closed Summary'!E54+'Estate Closed Summary'!E54+'Released from Oversight Summary'!E54</f>
        <v>2167003.6817467823</v>
      </c>
      <c r="F54" s="17">
        <f t="shared" si="1"/>
        <v>232258208.18320131</v>
      </c>
      <c r="G54" s="3"/>
      <c r="H54" s="10">
        <f>SUM('Alabama Life:Villanova'!K54)</f>
        <v>53933397</v>
      </c>
      <c r="I54" s="7">
        <f>SUM('Alabama Life:Villanova'!L54)</f>
        <v>10230633</v>
      </c>
      <c r="J54" s="7"/>
      <c r="K54" s="7">
        <f>SUM('Alabama Life:Villanova'!N54)</f>
        <v>62105810</v>
      </c>
      <c r="L54" s="7">
        <f>SUM('Alabama Life:Villanova'!O54)</f>
        <v>2094396</v>
      </c>
      <c r="M54" s="7"/>
      <c r="N54" s="7">
        <f>SUM('Alabama Life:Villanova'!Q54)</f>
        <v>10836516</v>
      </c>
      <c r="O54" s="7">
        <f>SUM('Alabama Life:Villanova'!R54)</f>
        <v>2646855</v>
      </c>
      <c r="P54" s="7"/>
      <c r="Q54" s="7">
        <f>SUM('Alabama Life:Villanova'!T54)</f>
        <v>7600000</v>
      </c>
      <c r="R54" s="17">
        <f>SUM('Alabama Life:Villanova'!U54)</f>
        <v>5000000</v>
      </c>
    </row>
    <row r="55" spans="1:18">
      <c r="A55" t="s">
        <v>49</v>
      </c>
      <c r="B55" s="10">
        <f>+'Pre-Liquidation Summary'!B55+'Open Summary'!B55+'Closed Summary'!B55+'Estate Closed Summary'!B55+'Released from Oversight Summary'!B55</f>
        <v>2915523.2140129674</v>
      </c>
      <c r="C55" s="7">
        <f>+'Pre-Liquidation Summary'!C55+'Open Summary'!C55+'Closed Summary'!C55+'Estate Closed Summary'!C55+'Released from Oversight Summary'!C55</f>
        <v>9123236.87411559</v>
      </c>
      <c r="D55" s="7">
        <f>+'Pre-Liquidation Summary'!D55+'Open Summary'!D55+'Closed Summary'!D55+'Estate Closed Summary'!D55+'Released from Oversight Summary'!D55</f>
        <v>4234986.2427290929</v>
      </c>
      <c r="E55" s="7">
        <f>+'Pre-Liquidation Summary'!E55+'Open Summary'!E55+'Closed Summary'!E55+'Estate Closed Summary'!E55+'Released from Oversight Summary'!E55</f>
        <v>0</v>
      </c>
      <c r="F55" s="17">
        <f t="shared" si="1"/>
        <v>16273746.330857649</v>
      </c>
      <c r="G55" s="3"/>
      <c r="H55" s="10">
        <f>SUM('Alabama Life:Villanova'!K55)</f>
        <v>6818408</v>
      </c>
      <c r="I55" s="7">
        <f>SUM('Alabama Life:Villanova'!L55)</f>
        <v>4048871</v>
      </c>
      <c r="J55" s="7"/>
      <c r="K55" s="7">
        <f>SUM('Alabama Life:Villanova'!N55)</f>
        <v>10679699</v>
      </c>
      <c r="L55" s="7">
        <f>SUM('Alabama Life:Villanova'!O55)</f>
        <v>5230641</v>
      </c>
      <c r="M55" s="7"/>
      <c r="N55" s="7">
        <f>SUM('Alabama Life:Villanova'!Q55)</f>
        <v>4642781</v>
      </c>
      <c r="O55" s="7">
        <f>SUM('Alabama Life:Villanova'!R55)</f>
        <v>5464841</v>
      </c>
      <c r="P55" s="7"/>
      <c r="Q55" s="7">
        <f>SUM('Alabama Life:Villanova'!T55)</f>
        <v>51813</v>
      </c>
      <c r="R55" s="17">
        <f>SUM('Alabama Life:Villanova'!U55)</f>
        <v>0</v>
      </c>
    </row>
    <row r="56" spans="1:18">
      <c r="A56" t="s">
        <v>50</v>
      </c>
      <c r="B56" s="10">
        <f>+'Pre-Liquidation Summary'!B56+'Open Summary'!B56+'Closed Summary'!B56+'Estate Closed Summary'!B56+'Released from Oversight Summary'!B56</f>
        <v>30327713.742596079</v>
      </c>
      <c r="C56" s="7">
        <f>+'Pre-Liquidation Summary'!C56+'Open Summary'!C56+'Closed Summary'!C56+'Estate Closed Summary'!C56+'Released from Oversight Summary'!C56</f>
        <v>57577184.036857143</v>
      </c>
      <c r="D56" s="7">
        <f>+'Pre-Liquidation Summary'!D56+'Open Summary'!D56+'Closed Summary'!D56+'Estate Closed Summary'!D56+'Released from Oversight Summary'!D56</f>
        <v>16801870.713272247</v>
      </c>
      <c r="E56" s="7">
        <f>+'Pre-Liquidation Summary'!E56+'Open Summary'!E56+'Closed Summary'!E56+'Estate Closed Summary'!E56+'Released from Oversight Summary'!E56</f>
        <v>79687.440673158591</v>
      </c>
      <c r="F56" s="17">
        <f t="shared" si="1"/>
        <v>104786455.93339862</v>
      </c>
      <c r="G56" s="3"/>
      <c r="H56" s="10">
        <f>SUM('Alabama Life:Villanova'!K56)</f>
        <v>32700000</v>
      </c>
      <c r="I56" s="7">
        <f>SUM('Alabama Life:Villanova'!L56)</f>
        <v>0</v>
      </c>
      <c r="J56" s="7"/>
      <c r="K56" s="7">
        <f>SUM('Alabama Life:Villanova'!N56)</f>
        <v>51547843</v>
      </c>
      <c r="L56" s="7">
        <f>SUM('Alabama Life:Villanova'!O56)</f>
        <v>0</v>
      </c>
      <c r="M56" s="7"/>
      <c r="N56" s="7">
        <f>SUM('Alabama Life:Villanova'!Q56)</f>
        <v>0</v>
      </c>
      <c r="O56" s="7">
        <f>SUM('Alabama Life:Villanova'!R56)</f>
        <v>0</v>
      </c>
      <c r="P56" s="7"/>
      <c r="Q56" s="7">
        <f>SUM('Alabama Life:Villanova'!T56)</f>
        <v>0</v>
      </c>
      <c r="R56" s="17">
        <f>SUM('Alabama Life:Villanova'!U56)</f>
        <v>0</v>
      </c>
    </row>
    <row r="57" spans="1:18">
      <c r="A57" t="s">
        <v>51</v>
      </c>
      <c r="B57" s="10">
        <f>+'Pre-Liquidation Summary'!B57+'Open Summary'!B57+'Closed Summary'!B57+'Estate Closed Summary'!B57+'Released from Oversight Summary'!B57</f>
        <v>4029777.5298771197</v>
      </c>
      <c r="C57" s="7">
        <f>+'Pre-Liquidation Summary'!C57+'Open Summary'!C57+'Closed Summary'!C57+'Estate Closed Summary'!C57+'Released from Oversight Summary'!C57</f>
        <v>6387930.8180125318</v>
      </c>
      <c r="D57" s="7">
        <f>+'Pre-Liquidation Summary'!D57+'Open Summary'!D57+'Closed Summary'!D57+'Estate Closed Summary'!D57+'Released from Oversight Summary'!D57</f>
        <v>3324246.8365153926</v>
      </c>
      <c r="E57" s="7">
        <f>+'Pre-Liquidation Summary'!E57+'Open Summary'!E57+'Closed Summary'!E57+'Estate Closed Summary'!E57+'Released from Oversight Summary'!E57</f>
        <v>0</v>
      </c>
      <c r="F57" s="17">
        <f t="shared" si="1"/>
        <v>13741955.184405044</v>
      </c>
      <c r="G57" s="3"/>
      <c r="H57" s="10">
        <f>SUM('Alabama Life:Villanova'!K57)</f>
        <v>5076084</v>
      </c>
      <c r="I57" s="7">
        <f>SUM('Alabama Life:Villanova'!L57)</f>
        <v>1423081</v>
      </c>
      <c r="J57" s="7"/>
      <c r="K57" s="7">
        <f>SUM('Alabama Life:Villanova'!N57)</f>
        <v>8401821</v>
      </c>
      <c r="L57" s="7">
        <f>SUM('Alabama Life:Villanova'!O57)</f>
        <v>2995415</v>
      </c>
      <c r="M57" s="7"/>
      <c r="N57" s="7">
        <f>SUM('Alabama Life:Villanova'!Q57)</f>
        <v>845787</v>
      </c>
      <c r="O57" s="7">
        <f>SUM('Alabama Life:Villanova'!R57)</f>
        <v>781612</v>
      </c>
      <c r="P57" s="7"/>
      <c r="Q57" s="7">
        <f>SUM('Alabama Life:Villanova'!T57)</f>
        <v>0</v>
      </c>
      <c r="R57" s="17">
        <f>SUM('Alabama Life:Villanova'!U57)</f>
        <v>0</v>
      </c>
    </row>
    <row r="58" spans="1:18">
      <c r="A58" t="s">
        <v>52</v>
      </c>
      <c r="B58" s="10">
        <f>+'Pre-Liquidation Summary'!B58+'Open Summary'!B58+'Closed Summary'!B58+'Estate Closed Summary'!B58+'Released from Oversight Summary'!B58</f>
        <v>1</v>
      </c>
      <c r="C58" s="7">
        <f>+'Pre-Liquidation Summary'!C58+'Open Summary'!C58+'Closed Summary'!C58+'Estate Closed Summary'!C58+'Released from Oversight Summary'!C58</f>
        <v>0</v>
      </c>
      <c r="D58" s="7">
        <f>+'Pre-Liquidation Summary'!D58+'Open Summary'!D58+'Closed Summary'!D58+'Estate Closed Summary'!D58+'Released from Oversight Summary'!D58</f>
        <v>15802.561278678208</v>
      </c>
      <c r="E58" s="7">
        <f>+'Pre-Liquidation Summary'!E58+'Open Summary'!E58+'Closed Summary'!E58+'Estate Closed Summary'!E58+'Released from Oversight Summary'!E58</f>
        <v>0</v>
      </c>
      <c r="F58" s="17">
        <f t="shared" si="1"/>
        <v>15803.561278678208</v>
      </c>
      <c r="G58" s="3"/>
      <c r="H58" s="10">
        <f>SUM('Alabama Life:Villanova'!K58)</f>
        <v>0</v>
      </c>
      <c r="I58" s="7">
        <f>SUM('Alabama Life:Villanova'!L58)</f>
        <v>0</v>
      </c>
      <c r="J58" s="7"/>
      <c r="K58" s="7">
        <f>SUM('Alabama Life:Villanova'!N58)</f>
        <v>0</v>
      </c>
      <c r="L58" s="7">
        <f>SUM('Alabama Life:Villanova'!O58)</f>
        <v>0</v>
      </c>
      <c r="M58" s="7"/>
      <c r="N58" s="7">
        <f>SUM('Alabama Life:Villanova'!Q58)</f>
        <v>0</v>
      </c>
      <c r="O58" s="7">
        <f>SUM('Alabama Life:Villanova'!R58)</f>
        <v>0</v>
      </c>
      <c r="P58" s="7"/>
      <c r="Q58" s="7">
        <f>SUM('Alabama Life:Villanova'!T58)</f>
        <v>0</v>
      </c>
      <c r="R58" s="17">
        <f>SUM('Alabama Life:Villanova'!U58)</f>
        <v>0</v>
      </c>
    </row>
    <row r="59" spans="1:18">
      <c r="B59" s="10"/>
      <c r="C59" s="7"/>
      <c r="D59" s="7"/>
      <c r="E59" s="7"/>
      <c r="F59" s="17"/>
      <c r="G59" s="3"/>
      <c r="H59" s="10"/>
      <c r="I59" s="7"/>
      <c r="J59" s="7"/>
      <c r="K59" s="7"/>
      <c r="L59" s="7"/>
      <c r="M59" s="7"/>
      <c r="N59" s="7"/>
      <c r="O59" s="7"/>
      <c r="P59" s="7"/>
      <c r="Q59" s="7"/>
      <c r="R59" s="17"/>
    </row>
    <row r="60" spans="1:18">
      <c r="A60" t="s">
        <v>59</v>
      </c>
      <c r="B60" s="10">
        <f>SUM(B6:B58)</f>
        <v>1936901431.346683</v>
      </c>
      <c r="C60" s="7">
        <f>SUM(C6:C58)</f>
        <v>3269094176.9556346</v>
      </c>
      <c r="D60" s="7">
        <f>SUM(D6:D58)</f>
        <v>2707276229.944169</v>
      </c>
      <c r="E60" s="7">
        <f>SUM(E6:E58)</f>
        <v>54244438.600958541</v>
      </c>
      <c r="F60" s="17">
        <f>SUM(F6:F58)</f>
        <v>7967516276.8474445</v>
      </c>
      <c r="G60" s="3"/>
      <c r="H60" s="10">
        <f>SUM(H6:H58)</f>
        <v>2236527245</v>
      </c>
      <c r="I60" s="7">
        <f>SUM(I6:I58)</f>
        <v>328290684.17595959</v>
      </c>
      <c r="J60" s="7"/>
      <c r="K60" s="7">
        <f>SUM(K6:K58)</f>
        <v>2500432476</v>
      </c>
      <c r="L60" s="7">
        <f>SUM(L6:L58)</f>
        <v>319847851.18427843</v>
      </c>
      <c r="M60" s="7"/>
      <c r="N60" s="7">
        <f>SUM(N6:N58)</f>
        <v>378447540.5</v>
      </c>
      <c r="O60" s="7">
        <f>SUM(O6:O58)</f>
        <v>94947978.939761996</v>
      </c>
      <c r="P60" s="7"/>
      <c r="Q60" s="7">
        <f>SUM(Q6:Q58)</f>
        <v>278013015</v>
      </c>
      <c r="R60" s="17">
        <f>SUM(R6:R58)</f>
        <v>111883438.81999999</v>
      </c>
    </row>
    <row r="61" spans="1:18">
      <c r="B61" s="8"/>
      <c r="C61" s="5"/>
      <c r="D61" s="5"/>
      <c r="E61" s="5"/>
      <c r="F61" s="15"/>
      <c r="H61" s="8"/>
      <c r="I61" s="5"/>
      <c r="J61" s="5"/>
      <c r="K61" s="5"/>
      <c r="L61" s="5"/>
      <c r="M61" s="5"/>
      <c r="N61" s="5"/>
      <c r="O61" s="5"/>
      <c r="P61" s="5"/>
      <c r="Q61" s="5"/>
      <c r="R61" s="15"/>
    </row>
    <row r="62" spans="1:18">
      <c r="B62" s="8"/>
      <c r="C62" s="5"/>
      <c r="D62" s="5"/>
      <c r="E62" s="5"/>
      <c r="F62" s="15"/>
      <c r="H62" s="8"/>
      <c r="I62" s="5"/>
      <c r="J62" s="5"/>
      <c r="K62" s="5"/>
      <c r="L62" s="5"/>
      <c r="M62" s="5"/>
      <c r="N62" s="5"/>
      <c r="O62" s="5"/>
      <c r="P62" s="5"/>
      <c r="Q62" s="5"/>
      <c r="R62" s="15"/>
    </row>
    <row r="63" spans="1:18">
      <c r="B63" s="8"/>
      <c r="C63" s="5"/>
      <c r="D63" s="5"/>
      <c r="E63" s="5"/>
      <c r="F63" s="15"/>
      <c r="H63" s="8"/>
      <c r="I63" s="5"/>
      <c r="J63" s="5"/>
      <c r="K63" s="5"/>
      <c r="L63" s="5"/>
      <c r="M63" s="5"/>
      <c r="N63" s="5"/>
      <c r="O63" s="5"/>
      <c r="P63" s="5"/>
      <c r="Q63" s="5"/>
      <c r="R63" s="15"/>
    </row>
    <row r="64" spans="1:18" ht="15.75" thickBot="1">
      <c r="B64" s="11"/>
      <c r="C64" s="12"/>
      <c r="D64" s="12"/>
      <c r="E64" s="12"/>
      <c r="F64" s="18"/>
      <c r="H64" s="11"/>
      <c r="I64" s="12"/>
      <c r="J64" s="12"/>
      <c r="K64" s="12"/>
      <c r="L64" s="12"/>
      <c r="M64" s="12"/>
      <c r="N64" s="12"/>
      <c r="O64" s="12"/>
      <c r="P64" s="12"/>
      <c r="Q64" s="12"/>
      <c r="R64" s="18"/>
    </row>
  </sheetData>
  <mergeCells count="7">
    <mergeCell ref="Q4:R4"/>
    <mergeCell ref="H3:R3"/>
    <mergeCell ref="A1:F1"/>
    <mergeCell ref="B3:F3"/>
    <mergeCell ref="H4:I4"/>
    <mergeCell ref="K4:L4"/>
    <mergeCell ref="N4:O4"/>
  </mergeCells>
  <printOptions horizontalCentered="1" verticalCentered="1"/>
  <pageMargins left="0.25" right="0.25" top="0.75" bottom="0.75" header="0.4" footer="0.4"/>
  <pageSetup scale="51" orientation="landscape" r:id="rId1"/>
  <headerFooter>
    <oddHeader>&amp;L&amp;"Geneva,Bold"&amp;D 
&amp;F &amp;C&amp;"Geneva,Bold Italic"Total All Insolvencies Summary by State&amp;R&amp;"Geneva,Bold"UNAUDITED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63"/>
  <sheetViews>
    <sheetView topLeftCell="K15" zoomScale="75" zoomScaleNormal="75" workbookViewId="0">
      <selection activeCell="R25" sqref="R25"/>
    </sheetView>
  </sheetViews>
  <sheetFormatPr defaultRowHeight="15"/>
  <cols>
    <col min="1" max="1" width="20" customWidth="1"/>
    <col min="2" max="2" width="12.140625" bestFit="1" customWidth="1"/>
    <col min="3" max="3" width="7" bestFit="1" customWidth="1"/>
    <col min="4" max="4" width="15.5703125" bestFit="1" customWidth="1"/>
    <col min="5" max="7" width="13.28515625" bestFit="1" customWidth="1"/>
    <col min="8" max="8" width="15" bestFit="1" customWidth="1"/>
    <col min="9" max="9" width="13.28515625" bestFit="1" customWidth="1"/>
    <col min="10" max="15" width="14.42578125" customWidth="1"/>
    <col min="16" max="16" width="11.7109375" bestFit="1" customWidth="1"/>
    <col min="17" max="19" width="11.7109375" customWidth="1"/>
    <col min="20" max="24" width="14.7109375" customWidth="1"/>
    <col min="25" max="25" width="15.140625" bestFit="1" customWidth="1"/>
    <col min="26" max="26" width="2.7109375" customWidth="1"/>
    <col min="27" max="27" width="12.140625" bestFit="1" customWidth="1"/>
    <col min="28" max="28" width="7" bestFit="1" customWidth="1"/>
    <col min="29" max="29" width="15.5703125" bestFit="1" customWidth="1"/>
    <col min="30" max="32" width="12.140625" bestFit="1" customWidth="1"/>
    <col min="33" max="35" width="13.28515625" bestFit="1" customWidth="1"/>
    <col min="36" max="40" width="13.28515625" customWidth="1"/>
    <col min="41" max="41" width="13.42578125" bestFit="1" customWidth="1"/>
    <col min="42" max="49" width="13.42578125" customWidth="1"/>
    <col min="50" max="50" width="15" bestFit="1" customWidth="1"/>
    <col min="51" max="51" width="2.7109375" customWidth="1"/>
    <col min="52" max="52" width="12.140625" bestFit="1" customWidth="1"/>
    <col min="53" max="53" width="7" bestFit="1" customWidth="1"/>
    <col min="54" max="54" width="15.5703125" bestFit="1" customWidth="1"/>
    <col min="55" max="57" width="12.140625" bestFit="1" customWidth="1"/>
    <col min="58" max="60" width="13.28515625" bestFit="1" customWidth="1"/>
    <col min="61" max="65" width="13.28515625" customWidth="1"/>
    <col min="66" max="66" width="11.7109375" bestFit="1" customWidth="1"/>
    <col min="67" max="69" width="11.7109375" customWidth="1"/>
    <col min="70" max="73" width="13.28515625" customWidth="1"/>
    <col min="74" max="74" width="15.28515625" customWidth="1"/>
    <col min="75" max="75" width="15" bestFit="1" customWidth="1"/>
    <col min="76" max="76" width="2.7109375" customWidth="1"/>
    <col min="77" max="77" width="11.7109375" bestFit="1" customWidth="1"/>
    <col min="78" max="78" width="7" bestFit="1" customWidth="1"/>
    <col min="79" max="79" width="15.5703125" bestFit="1" customWidth="1"/>
    <col min="80" max="80" width="9.28515625" bestFit="1" customWidth="1"/>
    <col min="81" max="82" width="11" bestFit="1" customWidth="1"/>
    <col min="83" max="83" width="12.140625" bestFit="1" customWidth="1"/>
    <col min="84" max="85" width="12.28515625" bestFit="1" customWidth="1"/>
    <col min="86" max="90" width="12.28515625" customWidth="1"/>
    <col min="91" max="95" width="11.5703125" customWidth="1"/>
    <col min="96" max="96" width="13.28515625" customWidth="1"/>
    <col min="97" max="99" width="11.5703125" customWidth="1"/>
    <col min="100" max="100" width="12.140625" bestFit="1" customWidth="1"/>
  </cols>
  <sheetData>
    <row r="1" spans="1:100">
      <c r="A1" s="84" t="s">
        <v>395</v>
      </c>
    </row>
    <row r="2" spans="1:100">
      <c r="B2" s="85" t="s">
        <v>406</v>
      </c>
      <c r="C2" s="85"/>
      <c r="D2" s="85"/>
      <c r="E2" s="85"/>
      <c r="F2" s="85"/>
      <c r="G2" s="85"/>
      <c r="H2" s="85"/>
      <c r="I2" s="85"/>
      <c r="J2" s="85"/>
      <c r="K2" s="85"/>
      <c r="L2" s="85"/>
      <c r="M2" s="85"/>
      <c r="N2" s="85"/>
      <c r="O2" s="85"/>
      <c r="P2" s="85"/>
      <c r="Q2" s="85"/>
      <c r="R2" s="85"/>
      <c r="S2" s="85"/>
      <c r="T2" s="85"/>
      <c r="U2" s="85"/>
      <c r="V2" s="85"/>
      <c r="W2" s="85"/>
      <c r="X2" s="85"/>
      <c r="Y2" s="85"/>
      <c r="AA2" s="85" t="s">
        <v>407</v>
      </c>
      <c r="AB2" s="85"/>
      <c r="AC2" s="85"/>
      <c r="AD2" s="85"/>
      <c r="AE2" s="85"/>
      <c r="AF2" s="85"/>
      <c r="AG2" s="85"/>
      <c r="AH2" s="85"/>
      <c r="AI2" s="85"/>
      <c r="AJ2" s="85"/>
      <c r="AK2" s="85"/>
      <c r="AL2" s="85"/>
      <c r="AM2" s="85"/>
      <c r="AN2" s="85"/>
      <c r="AO2" s="85"/>
      <c r="AP2" s="85"/>
      <c r="AQ2" s="85"/>
      <c r="AR2" s="85"/>
      <c r="AS2" s="85"/>
      <c r="AT2" s="85"/>
      <c r="AU2" s="85"/>
      <c r="AV2" s="85"/>
      <c r="AW2" s="85"/>
      <c r="AX2" s="85"/>
      <c r="AZ2" s="85" t="s">
        <v>408</v>
      </c>
      <c r="BA2" s="85"/>
      <c r="BB2" s="85"/>
      <c r="BC2" s="85"/>
      <c r="BD2" s="85"/>
      <c r="BE2" s="85"/>
      <c r="BF2" s="85"/>
      <c r="BG2" s="85"/>
      <c r="BH2" s="85"/>
      <c r="BI2" s="85"/>
      <c r="BJ2" s="85"/>
      <c r="BK2" s="85"/>
      <c r="BL2" s="85"/>
      <c r="BM2" s="85"/>
      <c r="BN2" s="85"/>
      <c r="BO2" s="85"/>
      <c r="BP2" s="85"/>
      <c r="BQ2" s="85"/>
      <c r="BR2" s="85"/>
      <c r="BS2" s="85"/>
      <c r="BT2" s="85"/>
      <c r="BU2" s="85"/>
      <c r="BV2" s="85"/>
      <c r="BW2" s="85"/>
      <c r="BY2" s="158" t="s">
        <v>409</v>
      </c>
      <c r="BZ2" s="158"/>
      <c r="CA2" s="158"/>
      <c r="CB2" s="158"/>
      <c r="CC2" s="158"/>
      <c r="CD2" s="158"/>
      <c r="CE2" s="158"/>
      <c r="CF2" s="158"/>
      <c r="CG2" s="158"/>
      <c r="CH2" s="158"/>
      <c r="CI2" s="158"/>
      <c r="CJ2" s="158"/>
      <c r="CK2" s="158"/>
      <c r="CL2" s="158"/>
      <c r="CM2" s="158"/>
      <c r="CN2" s="158"/>
      <c r="CO2" s="158"/>
      <c r="CP2" s="158"/>
      <c r="CQ2" s="158"/>
      <c r="CR2" s="158"/>
      <c r="CS2" s="158"/>
      <c r="CT2" s="158"/>
      <c r="CU2" s="158"/>
      <c r="CV2" s="158"/>
    </row>
    <row r="3" spans="1:100" ht="15.75" thickBot="1"/>
    <row r="4" spans="1:100">
      <c r="A4" s="84" t="s">
        <v>395</v>
      </c>
      <c r="B4" s="86" t="s">
        <v>395</v>
      </c>
      <c r="C4" s="26"/>
      <c r="D4" s="26"/>
      <c r="E4" s="26"/>
      <c r="F4" s="26"/>
      <c r="G4" s="26"/>
      <c r="H4" s="26"/>
      <c r="I4" s="26"/>
      <c r="J4" s="26"/>
      <c r="K4" s="26"/>
      <c r="L4" s="26"/>
      <c r="M4" s="26"/>
      <c r="N4" s="26"/>
      <c r="O4" s="26"/>
      <c r="P4" s="26"/>
      <c r="Q4" s="26"/>
      <c r="R4" s="26"/>
      <c r="S4" s="26"/>
      <c r="T4" s="26"/>
      <c r="U4" s="26"/>
      <c r="V4" s="26"/>
      <c r="W4" s="26"/>
      <c r="X4" s="26"/>
      <c r="Y4" s="87"/>
      <c r="Z4" s="84"/>
      <c r="AA4" s="88"/>
      <c r="AB4" s="26"/>
      <c r="AC4" s="26"/>
      <c r="AD4" s="26"/>
      <c r="AE4" s="26"/>
      <c r="AF4" s="26"/>
      <c r="AG4" s="26"/>
      <c r="AH4" s="26"/>
      <c r="AI4" s="26"/>
      <c r="AJ4" s="26"/>
      <c r="AK4" s="26"/>
      <c r="AL4" s="26"/>
      <c r="AM4" s="26"/>
      <c r="AN4" s="26"/>
      <c r="AO4" s="26"/>
      <c r="AP4" s="26"/>
      <c r="AQ4" s="26"/>
      <c r="AR4" s="26"/>
      <c r="AS4" s="26"/>
      <c r="AT4" s="26"/>
      <c r="AU4" s="26"/>
      <c r="AV4" s="26"/>
      <c r="AW4" s="26"/>
      <c r="AX4" s="87"/>
      <c r="AY4" s="84"/>
      <c r="AZ4" s="86" t="s">
        <v>395</v>
      </c>
      <c r="BA4" s="26"/>
      <c r="BB4" s="26"/>
      <c r="BC4" s="26"/>
      <c r="BD4" s="26"/>
      <c r="BE4" s="26"/>
      <c r="BF4" s="26"/>
      <c r="BG4" s="26"/>
      <c r="BH4" s="26"/>
      <c r="BI4" s="26"/>
      <c r="BJ4" s="26"/>
      <c r="BK4" s="26"/>
      <c r="BL4" s="26"/>
      <c r="BM4" s="26"/>
      <c r="BN4" s="26"/>
      <c r="BO4" s="26"/>
      <c r="BP4" s="26"/>
      <c r="BQ4" s="26"/>
      <c r="BR4" s="26"/>
      <c r="BS4" s="26"/>
      <c r="BT4" s="26"/>
      <c r="BU4" s="26"/>
      <c r="BV4" s="26"/>
      <c r="BW4" s="87"/>
      <c r="BX4" s="5"/>
      <c r="BY4" s="86" t="s">
        <v>395</v>
      </c>
      <c r="BZ4" s="26"/>
      <c r="CA4" s="88"/>
      <c r="CB4" s="88"/>
      <c r="CC4" s="26"/>
      <c r="CD4" s="26"/>
      <c r="CE4" s="26"/>
      <c r="CF4" s="26"/>
      <c r="CG4" s="26"/>
      <c r="CH4" s="26"/>
      <c r="CI4" s="26"/>
      <c r="CJ4" s="26"/>
      <c r="CK4" s="26"/>
      <c r="CL4" s="26"/>
      <c r="CM4" s="26"/>
      <c r="CN4" s="26"/>
      <c r="CO4" s="26"/>
      <c r="CP4" s="26"/>
      <c r="CQ4" s="26"/>
      <c r="CR4" s="26"/>
      <c r="CS4" s="26"/>
      <c r="CT4" s="26"/>
      <c r="CU4" s="26"/>
      <c r="CV4" s="87"/>
    </row>
    <row r="5" spans="1:100" s="89" customFormat="1" ht="12.75">
      <c r="B5" s="90" t="s">
        <v>410</v>
      </c>
      <c r="C5" s="91" t="s">
        <v>411</v>
      </c>
      <c r="D5" s="91" t="s">
        <v>412</v>
      </c>
      <c r="E5" s="91" t="s">
        <v>413</v>
      </c>
      <c r="F5" s="91" t="s">
        <v>413</v>
      </c>
      <c r="G5" s="91" t="s">
        <v>413</v>
      </c>
      <c r="H5" s="91" t="s">
        <v>414</v>
      </c>
      <c r="I5" s="91" t="s">
        <v>414</v>
      </c>
      <c r="J5" s="91" t="s">
        <v>413</v>
      </c>
      <c r="K5" s="91" t="s">
        <v>413</v>
      </c>
      <c r="L5" s="91" t="s">
        <v>413</v>
      </c>
      <c r="M5" s="91" t="s">
        <v>413</v>
      </c>
      <c r="N5" s="91" t="s">
        <v>413</v>
      </c>
      <c r="O5" s="91" t="s">
        <v>413</v>
      </c>
      <c r="P5" s="91" t="s">
        <v>413</v>
      </c>
      <c r="Q5" s="91" t="s">
        <v>413</v>
      </c>
      <c r="R5" s="91" t="s">
        <v>413</v>
      </c>
      <c r="S5" s="91" t="s">
        <v>413</v>
      </c>
      <c r="T5" s="91" t="s">
        <v>413</v>
      </c>
      <c r="U5" s="91" t="s">
        <v>413</v>
      </c>
      <c r="V5" s="91" t="s">
        <v>413</v>
      </c>
      <c r="W5" s="91" t="s">
        <v>413</v>
      </c>
      <c r="X5" s="91" t="s">
        <v>415</v>
      </c>
      <c r="Y5" s="92"/>
      <c r="AA5" s="90" t="s">
        <v>410</v>
      </c>
      <c r="AB5" s="91" t="s">
        <v>411</v>
      </c>
      <c r="AC5" s="91" t="s">
        <v>412</v>
      </c>
      <c r="AD5" s="91" t="s">
        <v>413</v>
      </c>
      <c r="AE5" s="91" t="s">
        <v>413</v>
      </c>
      <c r="AF5" s="91" t="s">
        <v>413</v>
      </c>
      <c r="AG5" s="91" t="s">
        <v>414</v>
      </c>
      <c r="AH5" s="91" t="s">
        <v>414</v>
      </c>
      <c r="AI5" s="91" t="s">
        <v>413</v>
      </c>
      <c r="AJ5" s="91" t="s">
        <v>413</v>
      </c>
      <c r="AK5" s="91" t="s">
        <v>413</v>
      </c>
      <c r="AL5" s="91" t="s">
        <v>413</v>
      </c>
      <c r="AM5" s="91" t="s">
        <v>413</v>
      </c>
      <c r="AN5" s="91" t="s">
        <v>413</v>
      </c>
      <c r="AO5" s="91" t="s">
        <v>413</v>
      </c>
      <c r="AP5" s="91" t="s">
        <v>413</v>
      </c>
      <c r="AQ5" s="91" t="s">
        <v>413</v>
      </c>
      <c r="AR5" s="91" t="s">
        <v>413</v>
      </c>
      <c r="AS5" s="91" t="s">
        <v>413</v>
      </c>
      <c r="AT5" s="91" t="s">
        <v>413</v>
      </c>
      <c r="AU5" s="91" t="s">
        <v>413</v>
      </c>
      <c r="AV5" s="91" t="s">
        <v>413</v>
      </c>
      <c r="AW5" s="91" t="s">
        <v>415</v>
      </c>
      <c r="AX5" s="92"/>
      <c r="AZ5" s="90" t="s">
        <v>410</v>
      </c>
      <c r="BA5" s="91" t="s">
        <v>411</v>
      </c>
      <c r="BB5" s="91" t="s">
        <v>412</v>
      </c>
      <c r="BC5" s="91" t="s">
        <v>413</v>
      </c>
      <c r="BD5" s="91" t="s">
        <v>413</v>
      </c>
      <c r="BE5" s="91" t="s">
        <v>413</v>
      </c>
      <c r="BF5" s="91" t="s">
        <v>414</v>
      </c>
      <c r="BG5" s="91" t="s">
        <v>414</v>
      </c>
      <c r="BH5" s="91" t="s">
        <v>413</v>
      </c>
      <c r="BI5" s="91" t="s">
        <v>413</v>
      </c>
      <c r="BJ5" s="91" t="s">
        <v>413</v>
      </c>
      <c r="BK5" s="91" t="s">
        <v>413</v>
      </c>
      <c r="BL5" s="91" t="s">
        <v>413</v>
      </c>
      <c r="BM5" s="91" t="s">
        <v>413</v>
      </c>
      <c r="BN5" s="91" t="s">
        <v>413</v>
      </c>
      <c r="BO5" s="91" t="s">
        <v>413</v>
      </c>
      <c r="BP5" s="91" t="s">
        <v>413</v>
      </c>
      <c r="BQ5" s="91" t="s">
        <v>413</v>
      </c>
      <c r="BR5" s="91" t="s">
        <v>413</v>
      </c>
      <c r="BS5" s="91" t="s">
        <v>413</v>
      </c>
      <c r="BT5" s="91" t="s">
        <v>413</v>
      </c>
      <c r="BU5" s="91" t="s">
        <v>413</v>
      </c>
      <c r="BV5" s="91" t="s">
        <v>415</v>
      </c>
      <c r="BW5" s="94"/>
      <c r="BX5" s="95"/>
      <c r="BY5" s="90" t="s">
        <v>410</v>
      </c>
      <c r="BZ5" s="96" t="s">
        <v>411</v>
      </c>
      <c r="CA5" s="90" t="s">
        <v>412</v>
      </c>
      <c r="CB5" s="97" t="s">
        <v>413</v>
      </c>
      <c r="CC5" s="91" t="s">
        <v>413</v>
      </c>
      <c r="CD5" s="91" t="s">
        <v>413</v>
      </c>
      <c r="CE5" s="91" t="s">
        <v>414</v>
      </c>
      <c r="CF5" s="91" t="s">
        <v>414</v>
      </c>
      <c r="CG5" s="91" t="s">
        <v>413</v>
      </c>
      <c r="CH5" s="91" t="s">
        <v>413</v>
      </c>
      <c r="CI5" s="91" t="s">
        <v>413</v>
      </c>
      <c r="CJ5" s="91" t="s">
        <v>413</v>
      </c>
      <c r="CK5" s="91" t="s">
        <v>413</v>
      </c>
      <c r="CL5" s="91" t="s">
        <v>413</v>
      </c>
      <c r="CM5" s="91" t="s">
        <v>413</v>
      </c>
      <c r="CN5" s="91" t="s">
        <v>413</v>
      </c>
      <c r="CO5" s="91" t="s">
        <v>413</v>
      </c>
      <c r="CP5" s="91" t="s">
        <v>413</v>
      </c>
      <c r="CQ5" s="91" t="s">
        <v>413</v>
      </c>
      <c r="CR5" s="91" t="s">
        <v>413</v>
      </c>
      <c r="CS5" s="91" t="s">
        <v>413</v>
      </c>
      <c r="CT5" s="91" t="s">
        <v>413</v>
      </c>
      <c r="CU5" s="91" t="s">
        <v>415</v>
      </c>
      <c r="CV5" s="92"/>
    </row>
    <row r="6" spans="1:100">
      <c r="A6" s="98" t="s">
        <v>398</v>
      </c>
      <c r="B6" s="90">
        <v>1992</v>
      </c>
      <c r="C6" s="91">
        <v>1993</v>
      </c>
      <c r="D6" s="91">
        <v>1994</v>
      </c>
      <c r="E6" s="91">
        <v>1995</v>
      </c>
      <c r="F6" s="91">
        <v>1996</v>
      </c>
      <c r="G6" s="91">
        <v>1997</v>
      </c>
      <c r="H6" s="91">
        <v>1998</v>
      </c>
      <c r="I6" s="91">
        <v>1999</v>
      </c>
      <c r="J6" s="91">
        <v>2000</v>
      </c>
      <c r="K6" s="91">
        <v>2001</v>
      </c>
      <c r="L6" s="91">
        <v>2002</v>
      </c>
      <c r="M6" s="91">
        <v>2003</v>
      </c>
      <c r="N6" s="91">
        <v>2004</v>
      </c>
      <c r="O6" s="91">
        <v>2005</v>
      </c>
      <c r="P6" s="91">
        <v>2006</v>
      </c>
      <c r="Q6" s="91">
        <v>2007</v>
      </c>
      <c r="R6" s="91">
        <v>2008</v>
      </c>
      <c r="S6" s="96">
        <v>2009</v>
      </c>
      <c r="T6" s="96">
        <v>2010</v>
      </c>
      <c r="U6" s="96">
        <v>2011</v>
      </c>
      <c r="V6" s="96">
        <v>2012</v>
      </c>
      <c r="W6" s="96">
        <v>2013</v>
      </c>
      <c r="X6" s="96">
        <v>2014</v>
      </c>
      <c r="Y6" s="92" t="s">
        <v>59</v>
      </c>
      <c r="Z6" s="93"/>
      <c r="AA6" s="90">
        <v>1992</v>
      </c>
      <c r="AB6" s="91">
        <v>1993</v>
      </c>
      <c r="AC6" s="91">
        <v>1994</v>
      </c>
      <c r="AD6" s="91">
        <v>1995</v>
      </c>
      <c r="AE6" s="91">
        <v>1996</v>
      </c>
      <c r="AF6" s="91">
        <v>1997</v>
      </c>
      <c r="AG6" s="91">
        <v>1998</v>
      </c>
      <c r="AH6" s="91">
        <v>1999</v>
      </c>
      <c r="AI6" s="91">
        <v>2000</v>
      </c>
      <c r="AJ6" s="91">
        <v>2001</v>
      </c>
      <c r="AK6" s="91">
        <v>2002</v>
      </c>
      <c r="AL6" s="91">
        <v>2003</v>
      </c>
      <c r="AM6" s="91">
        <v>2004</v>
      </c>
      <c r="AN6" s="91">
        <v>2005</v>
      </c>
      <c r="AO6" s="99">
        <v>2006</v>
      </c>
      <c r="AP6" s="99">
        <v>2007</v>
      </c>
      <c r="AQ6" s="99">
        <v>2008</v>
      </c>
      <c r="AR6" s="96">
        <v>2009</v>
      </c>
      <c r="AS6" s="96">
        <v>2010</v>
      </c>
      <c r="AT6" s="96">
        <v>2011</v>
      </c>
      <c r="AU6" s="96">
        <v>2012</v>
      </c>
      <c r="AV6" s="96">
        <v>2013</v>
      </c>
      <c r="AW6" s="96">
        <v>2014</v>
      </c>
      <c r="AX6" s="92" t="s">
        <v>59</v>
      </c>
      <c r="AY6" s="93"/>
      <c r="AZ6" s="90">
        <v>1992</v>
      </c>
      <c r="BA6" s="91">
        <v>1993</v>
      </c>
      <c r="BB6" s="91">
        <v>1994</v>
      </c>
      <c r="BC6" s="91">
        <v>1995</v>
      </c>
      <c r="BD6" s="91">
        <v>1996</v>
      </c>
      <c r="BE6" s="91">
        <v>1997</v>
      </c>
      <c r="BF6" s="91">
        <v>1998</v>
      </c>
      <c r="BG6" s="91">
        <v>1999</v>
      </c>
      <c r="BH6" s="91">
        <v>2000</v>
      </c>
      <c r="BI6" s="91">
        <v>2001</v>
      </c>
      <c r="BJ6" s="91">
        <v>2002</v>
      </c>
      <c r="BK6" s="91">
        <v>2003</v>
      </c>
      <c r="BL6" s="91">
        <v>2004</v>
      </c>
      <c r="BM6" s="91">
        <v>2005</v>
      </c>
      <c r="BN6" s="91">
        <v>2006</v>
      </c>
      <c r="BO6" s="96">
        <v>2007</v>
      </c>
      <c r="BP6" s="96">
        <v>2008</v>
      </c>
      <c r="BQ6" s="96">
        <v>2009</v>
      </c>
      <c r="BR6" s="96">
        <v>2010</v>
      </c>
      <c r="BS6" s="96">
        <v>2011</v>
      </c>
      <c r="BT6" s="96">
        <v>2012</v>
      </c>
      <c r="BU6" s="96">
        <v>2013</v>
      </c>
      <c r="BV6" s="96">
        <v>2014</v>
      </c>
      <c r="BW6" s="94" t="s">
        <v>59</v>
      </c>
      <c r="BX6" s="53"/>
      <c r="BY6" s="90">
        <v>1992</v>
      </c>
      <c r="BZ6" s="96">
        <v>1993</v>
      </c>
      <c r="CA6" s="90">
        <v>1994</v>
      </c>
      <c r="CB6" s="97">
        <v>1995</v>
      </c>
      <c r="CC6" s="91">
        <v>1996</v>
      </c>
      <c r="CD6" s="91">
        <v>1997</v>
      </c>
      <c r="CE6" s="91">
        <v>1998</v>
      </c>
      <c r="CF6" s="91">
        <v>1999</v>
      </c>
      <c r="CG6" s="91">
        <v>2000</v>
      </c>
      <c r="CH6" s="91">
        <v>2001</v>
      </c>
      <c r="CI6" s="91">
        <v>2002</v>
      </c>
      <c r="CJ6" s="91">
        <v>2003</v>
      </c>
      <c r="CK6" s="91">
        <v>2004</v>
      </c>
      <c r="CL6" s="91">
        <v>2005</v>
      </c>
      <c r="CM6" s="91">
        <v>2006</v>
      </c>
      <c r="CN6" s="91">
        <v>2007</v>
      </c>
      <c r="CO6" s="91">
        <v>2008</v>
      </c>
      <c r="CP6" s="96">
        <v>2009</v>
      </c>
      <c r="CQ6" s="96">
        <v>2010</v>
      </c>
      <c r="CR6" s="96">
        <v>2011</v>
      </c>
      <c r="CS6" s="96">
        <v>2012</v>
      </c>
      <c r="CT6" s="96">
        <v>2013</v>
      </c>
      <c r="CU6" s="96">
        <v>2014</v>
      </c>
      <c r="CV6" s="92" t="s">
        <v>59</v>
      </c>
    </row>
    <row r="7" spans="1:100">
      <c r="B7" s="8"/>
      <c r="C7" s="100"/>
      <c r="D7" s="100"/>
      <c r="E7" s="100"/>
      <c r="F7" s="100"/>
      <c r="G7" s="100"/>
      <c r="H7" s="100"/>
      <c r="I7" s="100"/>
      <c r="J7" s="100"/>
      <c r="K7" s="100"/>
      <c r="L7" s="100"/>
      <c r="M7" s="100"/>
      <c r="N7" s="100"/>
      <c r="O7" s="100"/>
      <c r="P7" s="100"/>
      <c r="Q7" s="100"/>
      <c r="R7" s="5"/>
      <c r="S7" s="5"/>
      <c r="T7" s="5"/>
      <c r="U7" s="5"/>
      <c r="V7" s="5"/>
      <c r="W7" s="5"/>
      <c r="X7" s="5"/>
      <c r="Y7" s="15"/>
      <c r="AA7" s="8"/>
      <c r="AB7" s="100"/>
      <c r="AC7" s="100"/>
      <c r="AD7" s="100"/>
      <c r="AE7" s="100"/>
      <c r="AF7" s="100"/>
      <c r="AG7" s="100"/>
      <c r="AH7" s="100"/>
      <c r="AI7" s="100"/>
      <c r="AJ7" s="100"/>
      <c r="AK7" s="100"/>
      <c r="AL7" s="100"/>
      <c r="AM7" s="100"/>
      <c r="AN7" s="100"/>
      <c r="AO7" s="100"/>
      <c r="AP7" s="100"/>
      <c r="AQ7" s="100"/>
      <c r="AR7" s="100"/>
      <c r="AS7" s="4"/>
      <c r="AT7" s="4"/>
      <c r="AU7" s="4"/>
      <c r="AV7" s="4"/>
      <c r="AW7" s="4"/>
      <c r="AX7" s="101"/>
      <c r="AZ7" s="8"/>
      <c r="BA7" s="100"/>
      <c r="BB7" s="100"/>
      <c r="BC7" s="100"/>
      <c r="BD7" s="100"/>
      <c r="BE7" s="100"/>
      <c r="BF7" s="100"/>
      <c r="BG7" s="100"/>
      <c r="BH7" s="100"/>
      <c r="BI7" s="100"/>
      <c r="BJ7" s="100"/>
      <c r="BK7" s="100"/>
      <c r="BL7" s="100"/>
      <c r="BM7" s="100"/>
      <c r="BN7" s="100"/>
      <c r="BO7" s="4"/>
      <c r="BP7" s="4"/>
      <c r="BQ7" s="4"/>
      <c r="BR7" s="4"/>
      <c r="BS7" s="4"/>
      <c r="BT7" s="4"/>
      <c r="BU7" s="4"/>
      <c r="BV7" s="4"/>
      <c r="BW7" s="101"/>
      <c r="BX7" s="5"/>
      <c r="BY7" s="8"/>
      <c r="BZ7" s="4"/>
      <c r="CA7" s="8"/>
      <c r="CB7" s="102"/>
      <c r="CC7" s="100"/>
      <c r="CD7" s="100"/>
      <c r="CE7" s="100"/>
      <c r="CF7" s="100"/>
      <c r="CG7" s="100"/>
      <c r="CH7" s="100"/>
      <c r="CI7" s="100"/>
      <c r="CJ7" s="100"/>
      <c r="CK7" s="100"/>
      <c r="CL7" s="100"/>
      <c r="CM7" s="100"/>
      <c r="CN7" s="100"/>
      <c r="CO7" s="4"/>
      <c r="CP7" s="4"/>
      <c r="CQ7" s="4"/>
      <c r="CR7" s="4"/>
      <c r="CS7" s="4"/>
      <c r="CT7" s="4"/>
      <c r="CU7" s="4"/>
      <c r="CV7" s="101"/>
    </row>
    <row r="8" spans="1:100" s="3" customFormat="1">
      <c r="A8" s="3" t="s">
        <v>0</v>
      </c>
      <c r="B8" s="103">
        <f t="shared" ref="B8:B39" si="0">+AA8+AZ8+BY8</f>
        <v>839298</v>
      </c>
      <c r="C8" s="104">
        <f t="shared" ref="C8:C39" si="1">+AB8+BA8+BZ8</f>
        <v>0</v>
      </c>
      <c r="D8" s="104">
        <f t="shared" ref="D8:D39" si="2">+AC8+BB8+CA8</f>
        <v>3019484</v>
      </c>
      <c r="E8" s="104">
        <f t="shared" ref="E8:E39" si="3">+AD8+BC8+CB8</f>
        <v>1144446.81</v>
      </c>
      <c r="F8" s="104">
        <f t="shared" ref="F8:F39" si="4">+AE8+BD8+CC8</f>
        <v>1143862.6120750003</v>
      </c>
      <c r="G8" s="104">
        <f t="shared" ref="G8:G39" si="5">+AF8+BE8+CD8</f>
        <v>1514019.95915379</v>
      </c>
      <c r="H8" s="104">
        <f t="shared" ref="H8:H39" si="6">+AG8+BF8+CE8</f>
        <v>11513166.61966392</v>
      </c>
      <c r="I8" s="104">
        <f t="shared" ref="I8:I39" si="7">+AH8+BG8+CF8</f>
        <v>914422.53</v>
      </c>
      <c r="J8" s="104">
        <f t="shared" ref="J8:J39" si="8">+AI8+BH8+CG8</f>
        <v>668212</v>
      </c>
      <c r="K8" s="104">
        <f t="shared" ref="K8:K39" si="9">+AJ8+BI8+CH8</f>
        <v>827816.48447434395</v>
      </c>
      <c r="L8" s="104">
        <f t="shared" ref="L8:L39" si="10">+AK8+BJ8+CI8</f>
        <v>906586</v>
      </c>
      <c r="M8" s="104">
        <f t="shared" ref="M8:M39" si="11">+AL8+BK8+CJ8</f>
        <v>771476.27</v>
      </c>
      <c r="N8" s="104">
        <f t="shared" ref="N8:N39" si="12">+AM8+BL8+CK8</f>
        <v>832019.13439999998</v>
      </c>
      <c r="O8" s="104">
        <f t="shared" ref="O8:O39" si="13">+AN8+BM8+CL8</f>
        <v>766945.52</v>
      </c>
      <c r="P8" s="104">
        <f t="shared" ref="P8:P39" si="14">+AO8+BN8+CM8</f>
        <v>702146.09562002355</v>
      </c>
      <c r="Q8" s="104">
        <f t="shared" ref="Q8:Q39" si="15">+AP8+BO8+CN8</f>
        <v>667137.45199999993</v>
      </c>
      <c r="R8" s="104">
        <f t="shared" ref="R8:R39" si="16">+AQ8+BP8+CO8</f>
        <v>667586.79399999999</v>
      </c>
      <c r="S8" s="104">
        <f t="shared" ref="S8:S39" si="17">+AR8+BQ8+CP8</f>
        <v>673462.20519999997</v>
      </c>
      <c r="T8" s="104">
        <f t="shared" ref="T8:T39" si="18">+AS8+BR8+CQ8</f>
        <v>612624.17371600005</v>
      </c>
      <c r="U8" s="104">
        <f t="shared" ref="U8:U39" si="19">+AT8+BS8+CR8</f>
        <v>586223.77639999997</v>
      </c>
      <c r="V8" s="104">
        <f t="shared" ref="V8:V39" si="20">+AU8+BT8+CS8</f>
        <v>5450680.8934927499</v>
      </c>
      <c r="W8" s="104">
        <f t="shared" ref="W8:W39" si="21">+AV8+BU8+CT8</f>
        <v>19060</v>
      </c>
      <c r="X8" s="104">
        <f t="shared" ref="X8:X39" si="22">+AW8+BV8+CU8</f>
        <v>95829.916892937094</v>
      </c>
      <c r="Y8" s="105">
        <f>SUM(B8:X8)</f>
        <v>34336507.247088768</v>
      </c>
      <c r="Z8" s="106"/>
      <c r="AA8" s="103">
        <v>255438.52173913046</v>
      </c>
      <c r="AB8" s="107">
        <v>0</v>
      </c>
      <c r="AC8" s="104">
        <v>915484.04347826098</v>
      </c>
      <c r="AD8" s="104">
        <v>985242.98391304351</v>
      </c>
      <c r="AE8" s="104">
        <v>804821.24193586968</v>
      </c>
      <c r="AF8" s="104">
        <v>460788.68322071875</v>
      </c>
      <c r="AG8" s="104">
        <v>3504007.2320716283</v>
      </c>
      <c r="AH8" s="104">
        <v>278302.50913043483</v>
      </c>
      <c r="AI8" s="104">
        <v>268460.34782608697</v>
      </c>
      <c r="AJ8" s="104">
        <v>317112.54912924959</v>
      </c>
      <c r="AK8" s="104">
        <v>295408</v>
      </c>
      <c r="AL8" s="104">
        <v>266647.95576244761</v>
      </c>
      <c r="AM8" s="104">
        <v>290752.57076024252</v>
      </c>
      <c r="AN8" s="104">
        <v>266636.66287308198</v>
      </c>
      <c r="AO8" s="104">
        <v>244686.62073720744</v>
      </c>
      <c r="AP8" s="104">
        <v>223113.41276228768</v>
      </c>
      <c r="AQ8" s="104">
        <v>222783.80727172509</v>
      </c>
      <c r="AR8" s="104">
        <v>228596.26782952671</v>
      </c>
      <c r="AS8" s="104">
        <v>200389.59474036261</v>
      </c>
      <c r="AT8" s="104">
        <v>192062.18323926951</v>
      </c>
      <c r="AU8" s="104">
        <v>1648863.3845217894</v>
      </c>
      <c r="AV8" s="104">
        <v>19060</v>
      </c>
      <c r="AW8" s="104">
        <v>95829.916892937094</v>
      </c>
      <c r="AX8" s="108">
        <f>SUM(AA8:AW8)</f>
        <v>11984488.489835301</v>
      </c>
      <c r="AY8" s="106"/>
      <c r="AZ8" s="103">
        <v>583859.47826086951</v>
      </c>
      <c r="BA8" s="107">
        <v>0</v>
      </c>
      <c r="BB8" s="104">
        <v>2103999.9565217393</v>
      </c>
      <c r="BC8" s="104">
        <v>159203.82608695651</v>
      </c>
      <c r="BD8" s="104">
        <v>339041.37013913057</v>
      </c>
      <c r="BE8" s="104">
        <v>1053231.2759330713</v>
      </c>
      <c r="BF8" s="104">
        <v>8009159.3875922924</v>
      </c>
      <c r="BG8" s="104">
        <v>636120.0208695652</v>
      </c>
      <c r="BH8" s="104">
        <v>399751.65217391303</v>
      </c>
      <c r="BI8" s="104">
        <v>510703.9353450943</v>
      </c>
      <c r="BJ8" s="104">
        <v>611178</v>
      </c>
      <c r="BK8" s="104">
        <v>504828.3142375524</v>
      </c>
      <c r="BL8" s="104">
        <v>541266.56363975746</v>
      </c>
      <c r="BM8" s="104">
        <v>500308.8571269181</v>
      </c>
      <c r="BN8" s="104">
        <v>457459.47488281614</v>
      </c>
      <c r="BO8" s="107">
        <v>444024.03923771222</v>
      </c>
      <c r="BP8" s="107">
        <v>444802.9867282749</v>
      </c>
      <c r="BQ8" s="107">
        <v>444865.93737047329</v>
      </c>
      <c r="BR8" s="107">
        <v>412234.57897563739</v>
      </c>
      <c r="BS8" s="107">
        <v>394161.5931607305</v>
      </c>
      <c r="BT8" s="104">
        <v>3801817.5089709605</v>
      </c>
      <c r="BU8" s="104">
        <v>0</v>
      </c>
      <c r="BV8" s="107">
        <v>0</v>
      </c>
      <c r="BW8" s="108">
        <f>SUM(AZ8:BV8)</f>
        <v>22352018.757253461</v>
      </c>
      <c r="BX8" s="106"/>
      <c r="BY8" s="109">
        <v>0</v>
      </c>
      <c r="BZ8" s="104">
        <v>0</v>
      </c>
      <c r="CA8" s="104">
        <v>0</v>
      </c>
      <c r="CB8" s="104">
        <v>0</v>
      </c>
      <c r="CC8" s="104">
        <v>0</v>
      </c>
      <c r="CD8" s="104">
        <v>0</v>
      </c>
      <c r="CE8" s="104">
        <v>0</v>
      </c>
      <c r="CF8" s="104">
        <v>0</v>
      </c>
      <c r="CG8" s="104">
        <v>0</v>
      </c>
      <c r="CH8" s="104">
        <v>0</v>
      </c>
      <c r="CI8" s="100">
        <v>0</v>
      </c>
      <c r="CJ8" s="100">
        <v>0</v>
      </c>
      <c r="CK8" s="100">
        <v>0</v>
      </c>
      <c r="CL8" s="100">
        <v>0</v>
      </c>
      <c r="CM8" s="100">
        <v>0</v>
      </c>
      <c r="CN8" s="107">
        <v>0</v>
      </c>
      <c r="CO8" s="107">
        <v>0</v>
      </c>
      <c r="CP8" s="107">
        <v>0</v>
      </c>
      <c r="CQ8" s="107">
        <v>0</v>
      </c>
      <c r="CR8" s="107">
        <v>0</v>
      </c>
      <c r="CS8" s="107">
        <v>0</v>
      </c>
      <c r="CT8" s="107">
        <v>0</v>
      </c>
      <c r="CU8" s="107">
        <v>0</v>
      </c>
      <c r="CV8" s="108">
        <f>SUM(BY8:CU8)</f>
        <v>0</v>
      </c>
    </row>
    <row r="9" spans="1:100" s="3" customFormat="1">
      <c r="A9" s="3" t="s">
        <v>1</v>
      </c>
      <c r="B9" s="103">
        <f t="shared" si="0"/>
        <v>438140</v>
      </c>
      <c r="C9" s="104">
        <f t="shared" si="1"/>
        <v>0</v>
      </c>
      <c r="D9" s="104">
        <f t="shared" si="2"/>
        <v>370076</v>
      </c>
      <c r="E9" s="104">
        <f t="shared" si="3"/>
        <v>44882.36</v>
      </c>
      <c r="F9" s="104">
        <f t="shared" si="4"/>
        <v>118122.91451999999</v>
      </c>
      <c r="G9" s="104">
        <f t="shared" si="5"/>
        <v>321504</v>
      </c>
      <c r="H9" s="104">
        <f t="shared" si="6"/>
        <v>2464875</v>
      </c>
      <c r="I9" s="104">
        <f t="shared" si="7"/>
        <v>126906.29999999999</v>
      </c>
      <c r="J9" s="104">
        <f t="shared" si="8"/>
        <v>154957</v>
      </c>
      <c r="K9" s="104">
        <f t="shared" si="9"/>
        <v>152456.21756661515</v>
      </c>
      <c r="L9" s="104">
        <f t="shared" si="10"/>
        <v>-43415</v>
      </c>
      <c r="M9" s="104">
        <f t="shared" si="11"/>
        <v>143157.60999999999</v>
      </c>
      <c r="N9" s="104">
        <f t="shared" si="12"/>
        <v>153486.16070000001</v>
      </c>
      <c r="O9" s="104">
        <f t="shared" si="13"/>
        <v>141759.1</v>
      </c>
      <c r="P9" s="104">
        <f t="shared" si="14"/>
        <v>129718.82216582262</v>
      </c>
      <c r="Q9" s="104">
        <f t="shared" si="15"/>
        <v>125825.436</v>
      </c>
      <c r="R9" s="104">
        <f t="shared" si="16"/>
        <v>125968.912</v>
      </c>
      <c r="S9" s="104">
        <f t="shared" si="17"/>
        <v>126017.71309999999</v>
      </c>
      <c r="T9" s="104">
        <f t="shared" si="18"/>
        <v>116832.990823</v>
      </c>
      <c r="U9" s="104">
        <f t="shared" si="19"/>
        <v>111701.46169999999</v>
      </c>
      <c r="V9" s="104">
        <f t="shared" si="20"/>
        <v>105494.5588</v>
      </c>
      <c r="W9" s="104">
        <f t="shared" si="21"/>
        <v>1040859.0617477841</v>
      </c>
      <c r="X9" s="104">
        <f t="shared" si="22"/>
        <v>0</v>
      </c>
      <c r="Y9" s="105">
        <f t="shared" ref="Y9:Y60" si="23">SUM(B9:X9)</f>
        <v>6469326.6191232195</v>
      </c>
      <c r="Z9" s="106"/>
      <c r="AA9" s="103">
        <v>36511.666666666664</v>
      </c>
      <c r="AB9" s="107">
        <v>0</v>
      </c>
      <c r="AC9" s="104">
        <v>33143.75</v>
      </c>
      <c r="AD9" s="104">
        <v>15093.11</v>
      </c>
      <c r="AE9" s="104">
        <v>9198.6947680931553</v>
      </c>
      <c r="AF9" s="104">
        <v>26792</v>
      </c>
      <c r="AG9" s="104">
        <v>205406.25</v>
      </c>
      <c r="AH9" s="104">
        <v>10575.525</v>
      </c>
      <c r="AI9" s="104">
        <v>13464</v>
      </c>
      <c r="AJ9" s="104">
        <v>12039.906241543547</v>
      </c>
      <c r="AK9" s="104">
        <v>-4456</v>
      </c>
      <c r="AL9" s="104">
        <v>12792.313601467053</v>
      </c>
      <c r="AM9" s="104">
        <v>13719.283972362897</v>
      </c>
      <c r="AN9" s="104">
        <v>12555.151466639911</v>
      </c>
      <c r="AO9" s="104">
        <v>11560.153070934788</v>
      </c>
      <c r="AP9" s="104">
        <v>11178.183780098425</v>
      </c>
      <c r="AQ9" s="104">
        <v>11190.930019229543</v>
      </c>
      <c r="AR9" s="104">
        <v>11195.265451569878</v>
      </c>
      <c r="AS9" s="104">
        <v>10379.305524504971</v>
      </c>
      <c r="AT9" s="104">
        <v>9923.4265112200774</v>
      </c>
      <c r="AU9" s="104">
        <v>9372.0125560844426</v>
      </c>
      <c r="AV9" s="104">
        <v>92468.695132497262</v>
      </c>
      <c r="AW9" s="104">
        <v>0</v>
      </c>
      <c r="AX9" s="108">
        <f t="shared" ref="AX9:AX60" si="24">SUM(AA9:AW9)</f>
        <v>564103.62376291258</v>
      </c>
      <c r="AY9" s="106"/>
      <c r="AZ9" s="103">
        <v>401628.33333333331</v>
      </c>
      <c r="BA9" s="107">
        <v>0</v>
      </c>
      <c r="BB9" s="104">
        <v>336932.25</v>
      </c>
      <c r="BC9" s="104">
        <v>29789.25</v>
      </c>
      <c r="BD9" s="104">
        <v>108924.21975190684</v>
      </c>
      <c r="BE9" s="104">
        <v>294712</v>
      </c>
      <c r="BF9" s="104">
        <v>2259468.75</v>
      </c>
      <c r="BG9" s="104">
        <v>116330.77499999999</v>
      </c>
      <c r="BH9" s="104">
        <v>141493</v>
      </c>
      <c r="BI9" s="104">
        <v>140416.31132507161</v>
      </c>
      <c r="BJ9" s="104">
        <v>-38959</v>
      </c>
      <c r="BK9" s="104">
        <v>130365.29639853294</v>
      </c>
      <c r="BL9" s="104">
        <v>139766.87672763711</v>
      </c>
      <c r="BM9" s="104">
        <v>129203.94853336009</v>
      </c>
      <c r="BN9" s="104">
        <v>118158.66909488784</v>
      </c>
      <c r="BO9" s="107">
        <v>114647.25221990158</v>
      </c>
      <c r="BP9" s="107">
        <v>114777.98198077045</v>
      </c>
      <c r="BQ9" s="107">
        <v>114822.44764843011</v>
      </c>
      <c r="BR9" s="107">
        <v>106453.68529849502</v>
      </c>
      <c r="BS9" s="107">
        <v>101778.0351887799</v>
      </c>
      <c r="BT9" s="104">
        <v>96122.546243915553</v>
      </c>
      <c r="BU9" s="104">
        <v>948390.36661528691</v>
      </c>
      <c r="BV9" s="107">
        <v>0</v>
      </c>
      <c r="BW9" s="108">
        <f t="shared" ref="BW9:BW60" si="25">SUM(AZ9:BV9)</f>
        <v>5905222.9953603093</v>
      </c>
      <c r="BX9" s="106"/>
      <c r="BY9" s="109">
        <v>0</v>
      </c>
      <c r="BZ9" s="104">
        <v>0</v>
      </c>
      <c r="CA9" s="104">
        <v>0</v>
      </c>
      <c r="CB9" s="104">
        <v>0</v>
      </c>
      <c r="CC9" s="104">
        <v>0</v>
      </c>
      <c r="CD9" s="104">
        <v>0</v>
      </c>
      <c r="CE9" s="104">
        <v>0</v>
      </c>
      <c r="CF9" s="104">
        <v>0</v>
      </c>
      <c r="CG9" s="104">
        <v>0</v>
      </c>
      <c r="CH9" s="104">
        <v>0</v>
      </c>
      <c r="CI9" s="110">
        <v>0</v>
      </c>
      <c r="CJ9" s="110">
        <v>0</v>
      </c>
      <c r="CK9" s="110">
        <v>0</v>
      </c>
      <c r="CL9" s="110">
        <v>0</v>
      </c>
      <c r="CM9" s="110">
        <v>0</v>
      </c>
      <c r="CN9" s="107">
        <v>0</v>
      </c>
      <c r="CO9" s="107">
        <v>0</v>
      </c>
      <c r="CP9" s="107">
        <v>0</v>
      </c>
      <c r="CQ9" s="107">
        <v>0</v>
      </c>
      <c r="CR9" s="107">
        <v>0</v>
      </c>
      <c r="CS9" s="107">
        <v>0</v>
      </c>
      <c r="CT9" s="107">
        <v>0</v>
      </c>
      <c r="CU9" s="107">
        <v>0</v>
      </c>
      <c r="CV9" s="108">
        <f t="shared" ref="CV9:CV60" si="26">SUM(BY9:CU9)</f>
        <v>0</v>
      </c>
    </row>
    <row r="10" spans="1:100" s="3" customFormat="1">
      <c r="A10" s="3" t="s">
        <v>2</v>
      </c>
      <c r="B10" s="103">
        <f t="shared" si="0"/>
        <v>1596303</v>
      </c>
      <c r="C10" s="104">
        <f t="shared" si="1"/>
        <v>0</v>
      </c>
      <c r="D10" s="104">
        <f t="shared" si="2"/>
        <v>4726874</v>
      </c>
      <c r="E10" s="104">
        <f t="shared" si="3"/>
        <v>1318873.3399999999</v>
      </c>
      <c r="F10" s="104">
        <f t="shared" si="4"/>
        <v>1206952.9275299993</v>
      </c>
      <c r="G10" s="104">
        <f t="shared" si="5"/>
        <v>34656028.766920038</v>
      </c>
      <c r="H10" s="104">
        <f t="shared" si="6"/>
        <v>23862.477568124599</v>
      </c>
      <c r="I10" s="104">
        <f t="shared" si="7"/>
        <v>8373.7000000000007</v>
      </c>
      <c r="J10" s="104">
        <f t="shared" si="8"/>
        <v>-76557.000000000015</v>
      </c>
      <c r="K10" s="104">
        <f t="shared" si="9"/>
        <v>73358.580534971785</v>
      </c>
      <c r="L10" s="104">
        <f t="shared" si="10"/>
        <v>34276</v>
      </c>
      <c r="M10" s="104">
        <f t="shared" si="11"/>
        <v>56699.73</v>
      </c>
      <c r="N10" s="104">
        <f t="shared" si="12"/>
        <v>63496.49</v>
      </c>
      <c r="O10" s="104">
        <f t="shared" si="13"/>
        <v>18392.560000000001</v>
      </c>
      <c r="P10" s="104">
        <f t="shared" si="14"/>
        <v>27066.637337174383</v>
      </c>
      <c r="Q10" s="104">
        <f t="shared" si="15"/>
        <v>29579.47</v>
      </c>
      <c r="R10" s="104">
        <f t="shared" si="16"/>
        <v>0</v>
      </c>
      <c r="S10" s="104">
        <f t="shared" si="17"/>
        <v>30370</v>
      </c>
      <c r="T10" s="104">
        <f t="shared" si="18"/>
        <v>5387.078786</v>
      </c>
      <c r="U10" s="104">
        <f t="shared" si="19"/>
        <v>22128</v>
      </c>
      <c r="V10" s="104">
        <f t="shared" si="20"/>
        <v>23341</v>
      </c>
      <c r="W10" s="104">
        <f t="shared" si="21"/>
        <v>17193</v>
      </c>
      <c r="X10" s="104">
        <f t="shared" si="22"/>
        <v>86443.009503686641</v>
      </c>
      <c r="Y10" s="105">
        <f t="shared" si="23"/>
        <v>43948442.768180005</v>
      </c>
      <c r="Z10" s="106"/>
      <c r="AA10" s="103">
        <v>660835.11290322582</v>
      </c>
      <c r="AB10" s="107">
        <v>0</v>
      </c>
      <c r="AC10" s="104">
        <v>1928246.2580645164</v>
      </c>
      <c r="AD10" s="104">
        <v>933375.58731182793</v>
      </c>
      <c r="AE10" s="104">
        <v>760774.23354736529</v>
      </c>
      <c r="AF10" s="104">
        <v>14346850.618563673</v>
      </c>
      <c r="AG10" s="104">
        <v>9878.5525416429791</v>
      </c>
      <c r="AH10" s="104">
        <v>3466.5317204301082</v>
      </c>
      <c r="AI10" s="104">
        <v>25315.220430107525</v>
      </c>
      <c r="AJ10" s="104">
        <v>73829.336208165332</v>
      </c>
      <c r="AK10" s="104">
        <v>56077</v>
      </c>
      <c r="AL10" s="104">
        <v>57117.854188993719</v>
      </c>
      <c r="AM10" s="104">
        <v>64408.867432005885</v>
      </c>
      <c r="AN10" s="104">
        <v>19106.560000000001</v>
      </c>
      <c r="AO10" s="104">
        <v>35492.27746211773</v>
      </c>
      <c r="AP10" s="104">
        <v>29579.47</v>
      </c>
      <c r="AQ10" s="104">
        <v>0</v>
      </c>
      <c r="AR10" s="104">
        <v>30370</v>
      </c>
      <c r="AS10" s="104">
        <v>8468.502511703864</v>
      </c>
      <c r="AT10" s="104">
        <v>22128</v>
      </c>
      <c r="AU10" s="104">
        <v>23341</v>
      </c>
      <c r="AV10" s="104">
        <v>17193</v>
      </c>
      <c r="AW10" s="104">
        <v>86443.009503686641</v>
      </c>
      <c r="AX10" s="108">
        <f t="shared" si="24"/>
        <v>19192296.992389452</v>
      </c>
      <c r="AY10" s="106"/>
      <c r="AZ10" s="103">
        <v>935467.8870967743</v>
      </c>
      <c r="BA10" s="107">
        <v>0</v>
      </c>
      <c r="BB10" s="104">
        <v>2798627.7419354841</v>
      </c>
      <c r="BC10" s="104">
        <v>385497.75268817204</v>
      </c>
      <c r="BD10" s="104">
        <v>446178.69398263399</v>
      </c>
      <c r="BE10" s="104">
        <v>20309178.148356367</v>
      </c>
      <c r="BF10" s="104">
        <v>13983.92502648162</v>
      </c>
      <c r="BG10" s="104">
        <v>4907.1682795698925</v>
      </c>
      <c r="BH10" s="104">
        <v>-101872.22043010754</v>
      </c>
      <c r="BI10" s="104">
        <v>-470.75567319354849</v>
      </c>
      <c r="BJ10" s="104">
        <v>-21801</v>
      </c>
      <c r="BK10" s="104">
        <v>-418.1241889937121</v>
      </c>
      <c r="BL10" s="104">
        <v>-912.37743200588727</v>
      </c>
      <c r="BM10" s="104">
        <v>-714</v>
      </c>
      <c r="BN10" s="104">
        <v>-8425.6401249433457</v>
      </c>
      <c r="BO10" s="107">
        <v>0</v>
      </c>
      <c r="BP10" s="107">
        <v>0</v>
      </c>
      <c r="BQ10" s="107">
        <v>0</v>
      </c>
      <c r="BR10" s="107">
        <v>-3081.423725703864</v>
      </c>
      <c r="BS10" s="107">
        <v>0</v>
      </c>
      <c r="BT10" s="104">
        <v>0</v>
      </c>
      <c r="BU10" s="104">
        <v>0</v>
      </c>
      <c r="BV10" s="107">
        <v>0</v>
      </c>
      <c r="BW10" s="108">
        <f t="shared" si="25"/>
        <v>24756145.775790535</v>
      </c>
      <c r="BX10" s="106"/>
      <c r="BY10" s="109">
        <v>0</v>
      </c>
      <c r="BZ10" s="104">
        <v>0</v>
      </c>
      <c r="CA10" s="104">
        <v>0</v>
      </c>
      <c r="CB10" s="104">
        <v>0</v>
      </c>
      <c r="CC10" s="104">
        <v>0</v>
      </c>
      <c r="CD10" s="104">
        <v>0</v>
      </c>
      <c r="CE10" s="104">
        <v>0</v>
      </c>
      <c r="CF10" s="104">
        <v>0</v>
      </c>
      <c r="CG10" s="104">
        <v>0</v>
      </c>
      <c r="CH10" s="104">
        <v>0</v>
      </c>
      <c r="CI10" s="110">
        <v>0</v>
      </c>
      <c r="CJ10" s="110">
        <v>0</v>
      </c>
      <c r="CK10" s="110">
        <v>0</v>
      </c>
      <c r="CL10" s="110">
        <v>0</v>
      </c>
      <c r="CM10" s="110">
        <v>0</v>
      </c>
      <c r="CN10" s="107">
        <v>0</v>
      </c>
      <c r="CO10" s="107">
        <v>0</v>
      </c>
      <c r="CP10" s="107">
        <v>0</v>
      </c>
      <c r="CQ10" s="107">
        <v>0</v>
      </c>
      <c r="CR10" s="107">
        <v>0</v>
      </c>
      <c r="CS10" s="107">
        <v>0</v>
      </c>
      <c r="CT10" s="107">
        <v>0</v>
      </c>
      <c r="CU10" s="107">
        <v>0</v>
      </c>
      <c r="CV10" s="108">
        <f t="shared" si="26"/>
        <v>0</v>
      </c>
    </row>
    <row r="11" spans="1:100" s="3" customFormat="1">
      <c r="A11" s="3" t="s">
        <v>3</v>
      </c>
      <c r="B11" s="103">
        <f t="shared" si="0"/>
        <v>474262</v>
      </c>
      <c r="C11" s="104">
        <f t="shared" si="1"/>
        <v>0</v>
      </c>
      <c r="D11" s="104">
        <f t="shared" si="2"/>
        <v>1411306</v>
      </c>
      <c r="E11" s="104">
        <f t="shared" si="3"/>
        <v>642133.98</v>
      </c>
      <c r="F11" s="104">
        <f t="shared" si="4"/>
        <v>569137</v>
      </c>
      <c r="G11" s="104">
        <f t="shared" si="5"/>
        <v>705835</v>
      </c>
      <c r="H11" s="104">
        <f t="shared" si="6"/>
        <v>5853496</v>
      </c>
      <c r="I11" s="104">
        <f t="shared" si="7"/>
        <v>454755</v>
      </c>
      <c r="J11" s="104">
        <f t="shared" si="8"/>
        <v>327261</v>
      </c>
      <c r="K11" s="104">
        <f t="shared" si="9"/>
        <v>402344.74915112474</v>
      </c>
      <c r="L11" s="104">
        <f t="shared" si="10"/>
        <v>426565</v>
      </c>
      <c r="M11" s="104">
        <f t="shared" si="11"/>
        <v>388756.27</v>
      </c>
      <c r="N11" s="104">
        <f t="shared" si="12"/>
        <v>415352.04130000004</v>
      </c>
      <c r="O11" s="104">
        <f t="shared" si="13"/>
        <v>383509.67000000004</v>
      </c>
      <c r="P11" s="104">
        <f t="shared" si="14"/>
        <v>355803.71384663647</v>
      </c>
      <c r="Q11" s="104">
        <f t="shared" si="15"/>
        <v>344809.03400000004</v>
      </c>
      <c r="R11" s="104">
        <f t="shared" si="16"/>
        <v>338207.86800000002</v>
      </c>
      <c r="S11" s="104">
        <f t="shared" si="17"/>
        <v>343049.46290000004</v>
      </c>
      <c r="T11" s="104">
        <f t="shared" si="18"/>
        <v>311172.36725700001</v>
      </c>
      <c r="U11" s="104">
        <f t="shared" si="19"/>
        <v>290854.93030000001</v>
      </c>
      <c r="V11" s="104">
        <f t="shared" si="20"/>
        <v>2681231.8785493332</v>
      </c>
      <c r="W11" s="104">
        <f t="shared" si="21"/>
        <v>9591</v>
      </c>
      <c r="X11" s="104">
        <f t="shared" si="22"/>
        <v>48221.654402946471</v>
      </c>
      <c r="Y11" s="105">
        <f t="shared" si="23"/>
        <v>17177655.61970704</v>
      </c>
      <c r="Z11" s="106"/>
      <c r="AA11" s="103">
        <v>291213.50877192983</v>
      </c>
      <c r="AB11" s="107">
        <v>0</v>
      </c>
      <c r="AC11" s="104">
        <v>859442.01754385966</v>
      </c>
      <c r="AD11" s="104">
        <v>516925.71684210526</v>
      </c>
      <c r="AE11" s="104">
        <v>349277.28070175438</v>
      </c>
      <c r="AF11" s="104">
        <v>433095.5263157895</v>
      </c>
      <c r="AG11" s="104">
        <v>3566838.9473684207</v>
      </c>
      <c r="AH11" s="104">
        <v>279235.5263157895</v>
      </c>
      <c r="AI11" s="104">
        <v>200949.73684210528</v>
      </c>
      <c r="AJ11" s="104">
        <v>261653.97718947401</v>
      </c>
      <c r="AK11" s="104">
        <v>274665</v>
      </c>
      <c r="AL11" s="104">
        <v>252980.55000667099</v>
      </c>
      <c r="AM11" s="104">
        <v>269780.24532638636</v>
      </c>
      <c r="AN11" s="104">
        <v>249140.00823357547</v>
      </c>
      <c r="AO11" s="104">
        <v>232554.14403148482</v>
      </c>
      <c r="AP11" s="104">
        <v>225419.39914243031</v>
      </c>
      <c r="AQ11" s="104">
        <v>218665.96650321121</v>
      </c>
      <c r="AR11" s="104">
        <v>223496.82239377004</v>
      </c>
      <c r="AS11" s="104">
        <v>200304.0516094073</v>
      </c>
      <c r="AT11" s="104">
        <v>184843.76473094197</v>
      </c>
      <c r="AU11" s="104">
        <v>1658715.6682023441</v>
      </c>
      <c r="AV11" s="104">
        <v>9591</v>
      </c>
      <c r="AW11" s="104">
        <v>48221.654402946471</v>
      </c>
      <c r="AX11" s="108">
        <f t="shared" si="24"/>
        <v>10807010.512474397</v>
      </c>
      <c r="AY11" s="106"/>
      <c r="AZ11" s="103">
        <v>183048.4912280702</v>
      </c>
      <c r="BA11" s="107">
        <v>0</v>
      </c>
      <c r="BB11" s="104">
        <v>551863.98245614045</v>
      </c>
      <c r="BC11" s="104">
        <v>117385.26315789475</v>
      </c>
      <c r="BD11" s="104">
        <v>219545.71929824565</v>
      </c>
      <c r="BE11" s="104">
        <v>272231.47368421056</v>
      </c>
      <c r="BF11" s="104">
        <v>2242013.0526315793</v>
      </c>
      <c r="BG11" s="104">
        <v>175519.47368421053</v>
      </c>
      <c r="BH11" s="104">
        <v>126311.26315789475</v>
      </c>
      <c r="BI11" s="104">
        <v>140690.77196165072</v>
      </c>
      <c r="BJ11" s="104">
        <v>151900</v>
      </c>
      <c r="BK11" s="104">
        <v>135775.719993329</v>
      </c>
      <c r="BL11" s="104">
        <v>145571.79597361365</v>
      </c>
      <c r="BM11" s="104">
        <v>134369.66176642454</v>
      </c>
      <c r="BN11" s="104">
        <v>123249.56981515167</v>
      </c>
      <c r="BO11" s="107">
        <v>119389.63485756972</v>
      </c>
      <c r="BP11" s="107">
        <v>119541.90149678881</v>
      </c>
      <c r="BQ11" s="107">
        <v>119552.64050623002</v>
      </c>
      <c r="BR11" s="107">
        <v>110868.31564759271</v>
      </c>
      <c r="BS11" s="107">
        <v>106011.16556905804</v>
      </c>
      <c r="BT11" s="104">
        <v>1022516.210346989</v>
      </c>
      <c r="BU11" s="104">
        <v>0</v>
      </c>
      <c r="BV11" s="107">
        <v>0</v>
      </c>
      <c r="BW11" s="108">
        <f t="shared" si="25"/>
        <v>6317356.1072326442</v>
      </c>
      <c r="BX11" s="106"/>
      <c r="BY11" s="109">
        <v>0</v>
      </c>
      <c r="BZ11" s="104">
        <v>0</v>
      </c>
      <c r="CA11" s="104">
        <v>0</v>
      </c>
      <c r="CB11" s="104">
        <v>7823</v>
      </c>
      <c r="CC11" s="104">
        <v>314</v>
      </c>
      <c r="CD11" s="104">
        <v>508</v>
      </c>
      <c r="CE11" s="104">
        <v>44644</v>
      </c>
      <c r="CF11" s="104">
        <v>0</v>
      </c>
      <c r="CG11" s="104">
        <v>0</v>
      </c>
      <c r="CH11" s="104">
        <v>0</v>
      </c>
      <c r="CI11" s="110">
        <v>0</v>
      </c>
      <c r="CJ11" s="110">
        <v>0</v>
      </c>
      <c r="CK11" s="110">
        <v>0</v>
      </c>
      <c r="CL11" s="110">
        <v>0</v>
      </c>
      <c r="CM11" s="110">
        <v>0</v>
      </c>
      <c r="CN11" s="107">
        <v>0</v>
      </c>
      <c r="CO11" s="107">
        <v>0</v>
      </c>
      <c r="CP11" s="107">
        <v>0</v>
      </c>
      <c r="CQ11" s="107">
        <v>0</v>
      </c>
      <c r="CR11" s="107">
        <v>0</v>
      </c>
      <c r="CS11" s="107">
        <v>0</v>
      </c>
      <c r="CT11" s="107">
        <v>0</v>
      </c>
      <c r="CU11" s="107">
        <v>0</v>
      </c>
      <c r="CV11" s="108">
        <f t="shared" si="26"/>
        <v>53289</v>
      </c>
    </row>
    <row r="12" spans="1:100" s="3" customFormat="1">
      <c r="A12" s="3" t="s">
        <v>4</v>
      </c>
      <c r="B12" s="103">
        <f t="shared" si="0"/>
        <v>18710796</v>
      </c>
      <c r="C12" s="104">
        <f t="shared" si="1"/>
        <v>0</v>
      </c>
      <c r="D12" s="104">
        <f t="shared" si="2"/>
        <v>64001665</v>
      </c>
      <c r="E12" s="104">
        <f t="shared" si="3"/>
        <v>46270341.630000003</v>
      </c>
      <c r="F12" s="104">
        <f t="shared" si="4"/>
        <v>45341695.491795003</v>
      </c>
      <c r="G12" s="104">
        <f t="shared" si="5"/>
        <v>25184460.733220257</v>
      </c>
      <c r="H12" s="104">
        <f t="shared" si="6"/>
        <v>242597620.70415264</v>
      </c>
      <c r="I12" s="104">
        <f t="shared" si="7"/>
        <v>16053737.610000001</v>
      </c>
      <c r="J12" s="104">
        <f t="shared" si="8"/>
        <v>15237268</v>
      </c>
      <c r="K12" s="104">
        <f t="shared" si="9"/>
        <v>15941556.045690417</v>
      </c>
      <c r="L12" s="104">
        <f t="shared" si="10"/>
        <v>12304120</v>
      </c>
      <c r="M12" s="104">
        <f t="shared" si="11"/>
        <v>15124760.334999997</v>
      </c>
      <c r="N12" s="104">
        <f t="shared" si="12"/>
        <v>16135055.817799997</v>
      </c>
      <c r="O12" s="104">
        <f t="shared" si="13"/>
        <v>14874047.364999998</v>
      </c>
      <c r="P12" s="104">
        <f t="shared" si="14"/>
        <v>13574230.904220846</v>
      </c>
      <c r="Q12" s="104">
        <f t="shared" si="15"/>
        <v>13137806.374000002</v>
      </c>
      <c r="R12" s="104">
        <f t="shared" si="16"/>
        <v>12863027.257999998</v>
      </c>
      <c r="S12" s="104">
        <f t="shared" si="17"/>
        <v>13123867.147399999</v>
      </c>
      <c r="T12" s="104">
        <f t="shared" si="18"/>
        <v>12150895.215542</v>
      </c>
      <c r="U12" s="104">
        <f t="shared" si="19"/>
        <v>11583963.551799998</v>
      </c>
      <c r="V12" s="104">
        <f t="shared" si="20"/>
        <v>10965003.9652</v>
      </c>
      <c r="W12" s="104">
        <f t="shared" si="21"/>
        <v>106171329.77030295</v>
      </c>
      <c r="X12" s="104">
        <f t="shared" si="22"/>
        <v>1043319.3103071026</v>
      </c>
      <c r="Y12" s="105">
        <f t="shared" si="23"/>
        <v>742390568.22943103</v>
      </c>
      <c r="Z12" s="106"/>
      <c r="AA12" s="103">
        <v>7023430.360655738</v>
      </c>
      <c r="AB12" s="107">
        <v>0</v>
      </c>
      <c r="AC12" s="104">
        <v>23683412.089113072</v>
      </c>
      <c r="AD12" s="104">
        <v>19918683.962072302</v>
      </c>
      <c r="AE12" s="104">
        <v>19903092.142359369</v>
      </c>
      <c r="AF12" s="104">
        <v>9453435.6598426607</v>
      </c>
      <c r="AG12" s="104">
        <v>91063335.556455776</v>
      </c>
      <c r="AH12" s="104">
        <v>6026056.1940857507</v>
      </c>
      <c r="AI12" s="104">
        <v>6196001.4720470784</v>
      </c>
      <c r="AJ12" s="104">
        <v>6360113.1376306266</v>
      </c>
      <c r="AK12" s="104">
        <v>4584359</v>
      </c>
      <c r="AL12" s="104">
        <v>5581392.4077304816</v>
      </c>
      <c r="AM12" s="104">
        <v>5903141.3202380268</v>
      </c>
      <c r="AN12" s="104">
        <v>5417830.177746986</v>
      </c>
      <c r="AO12" s="104">
        <v>4973727.6458769264</v>
      </c>
      <c r="AP12" s="104">
        <v>4746191.9044546159</v>
      </c>
      <c r="AQ12" s="104">
        <v>4457548.6518673263</v>
      </c>
      <c r="AR12" s="104">
        <v>4714757.3215493113</v>
      </c>
      <c r="AS12" s="104">
        <v>4357900.3690322489</v>
      </c>
      <c r="AT12" s="104">
        <v>4132693.1553441538</v>
      </c>
      <c r="AU12" s="104">
        <v>3928476.1889861361</v>
      </c>
      <c r="AV12" s="104">
        <v>36759299.696026079</v>
      </c>
      <c r="AW12" s="104">
        <v>1043319.3103071026</v>
      </c>
      <c r="AX12" s="108">
        <f t="shared" si="24"/>
        <v>280228197.72342175</v>
      </c>
      <c r="AY12" s="106"/>
      <c r="AZ12" s="103">
        <v>11687365.639344264</v>
      </c>
      <c r="BA12" s="107">
        <v>0</v>
      </c>
      <c r="BB12" s="104">
        <v>40318252.910886928</v>
      </c>
      <c r="BC12" s="104">
        <v>26351657.667927701</v>
      </c>
      <c r="BD12" s="104">
        <v>25438603.349435631</v>
      </c>
      <c r="BE12" s="104">
        <v>15731025.073377598</v>
      </c>
      <c r="BF12" s="104">
        <v>151534285.14769685</v>
      </c>
      <c r="BG12" s="104">
        <v>10027681.415914251</v>
      </c>
      <c r="BH12" s="104">
        <v>9041266.5279529225</v>
      </c>
      <c r="BI12" s="104">
        <v>9581442.9080597907</v>
      </c>
      <c r="BJ12" s="104">
        <v>7719761</v>
      </c>
      <c r="BK12" s="104">
        <v>9543367.9272695165</v>
      </c>
      <c r="BL12" s="104">
        <v>10231914.497561971</v>
      </c>
      <c r="BM12" s="104">
        <v>9456217.1872530133</v>
      </c>
      <c r="BN12" s="104">
        <v>8600503.2583439201</v>
      </c>
      <c r="BO12" s="107">
        <v>8391614.4695453849</v>
      </c>
      <c r="BP12" s="107">
        <v>8405478.6061326712</v>
      </c>
      <c r="BQ12" s="107">
        <v>8409109.8258506879</v>
      </c>
      <c r="BR12" s="107">
        <v>7792994.8465097509</v>
      </c>
      <c r="BS12" s="107">
        <v>7451270.3964558449</v>
      </c>
      <c r="BT12" s="104">
        <v>7036527.7762138629</v>
      </c>
      <c r="BU12" s="104">
        <v>69412030.074276879</v>
      </c>
      <c r="BV12" s="107">
        <v>0</v>
      </c>
      <c r="BW12" s="108">
        <f t="shared" si="25"/>
        <v>462162370.5060094</v>
      </c>
      <c r="BX12" s="106"/>
      <c r="BY12" s="109">
        <v>0</v>
      </c>
      <c r="BZ12" s="104">
        <v>0</v>
      </c>
      <c r="CA12" s="104">
        <v>0</v>
      </c>
      <c r="CB12" s="104">
        <v>0</v>
      </c>
      <c r="CC12" s="104">
        <v>0</v>
      </c>
      <c r="CD12" s="104">
        <v>0</v>
      </c>
      <c r="CE12" s="104">
        <v>0</v>
      </c>
      <c r="CF12" s="104">
        <v>0</v>
      </c>
      <c r="CG12" s="104">
        <v>0</v>
      </c>
      <c r="CH12" s="104">
        <v>0</v>
      </c>
      <c r="CI12" s="110">
        <v>0</v>
      </c>
      <c r="CJ12" s="110">
        <v>0</v>
      </c>
      <c r="CK12" s="110">
        <v>0</v>
      </c>
      <c r="CL12" s="110">
        <v>0</v>
      </c>
      <c r="CM12" s="110">
        <v>0</v>
      </c>
      <c r="CN12" s="107">
        <v>0</v>
      </c>
      <c r="CO12" s="107">
        <v>0</v>
      </c>
      <c r="CP12" s="107">
        <v>0</v>
      </c>
      <c r="CQ12" s="107">
        <v>0</v>
      </c>
      <c r="CR12" s="107">
        <v>0</v>
      </c>
      <c r="CS12" s="107">
        <v>0</v>
      </c>
      <c r="CT12" s="107">
        <v>0</v>
      </c>
      <c r="CU12" s="107">
        <v>0</v>
      </c>
      <c r="CV12" s="108">
        <f t="shared" si="26"/>
        <v>0</v>
      </c>
    </row>
    <row r="13" spans="1:100" s="3" customFormat="1">
      <c r="A13" s="3" t="s">
        <v>5</v>
      </c>
      <c r="B13" s="103">
        <f t="shared" si="0"/>
        <v>0</v>
      </c>
      <c r="C13" s="104">
        <f t="shared" si="1"/>
        <v>0</v>
      </c>
      <c r="D13" s="104">
        <f t="shared" si="2"/>
        <v>0</v>
      </c>
      <c r="E13" s="104">
        <f t="shared" si="3"/>
        <v>0</v>
      </c>
      <c r="F13" s="104">
        <f t="shared" si="4"/>
        <v>0</v>
      </c>
      <c r="G13" s="104">
        <f t="shared" si="5"/>
        <v>0</v>
      </c>
      <c r="H13" s="104">
        <f t="shared" si="6"/>
        <v>0</v>
      </c>
      <c r="I13" s="104">
        <f t="shared" si="7"/>
        <v>0</v>
      </c>
      <c r="J13" s="104">
        <f t="shared" si="8"/>
        <v>0</v>
      </c>
      <c r="K13" s="104">
        <f t="shared" si="9"/>
        <v>0</v>
      </c>
      <c r="L13" s="104">
        <f t="shared" si="10"/>
        <v>0</v>
      </c>
      <c r="M13" s="104">
        <f t="shared" si="11"/>
        <v>0</v>
      </c>
      <c r="N13" s="104">
        <f t="shared" si="12"/>
        <v>0</v>
      </c>
      <c r="O13" s="104">
        <f t="shared" si="13"/>
        <v>0</v>
      </c>
      <c r="P13" s="104">
        <f t="shared" si="14"/>
        <v>0</v>
      </c>
      <c r="Q13" s="104">
        <f t="shared" si="15"/>
        <v>0</v>
      </c>
      <c r="R13" s="104">
        <f t="shared" si="16"/>
        <v>0</v>
      </c>
      <c r="S13" s="104">
        <f t="shared" si="17"/>
        <v>0</v>
      </c>
      <c r="T13" s="104">
        <f t="shared" si="18"/>
        <v>0</v>
      </c>
      <c r="U13" s="104">
        <f t="shared" si="19"/>
        <v>0</v>
      </c>
      <c r="V13" s="104">
        <f t="shared" si="20"/>
        <v>0</v>
      </c>
      <c r="W13" s="104">
        <f t="shared" si="21"/>
        <v>0</v>
      </c>
      <c r="X13" s="104">
        <f t="shared" si="22"/>
        <v>0</v>
      </c>
      <c r="Y13" s="105">
        <f t="shared" si="23"/>
        <v>0</v>
      </c>
      <c r="Z13" s="106"/>
      <c r="AA13" s="103">
        <v>0</v>
      </c>
      <c r="AB13" s="107">
        <v>0</v>
      </c>
      <c r="AC13" s="104">
        <v>0</v>
      </c>
      <c r="AD13" s="104">
        <v>0</v>
      </c>
      <c r="AE13" s="104">
        <v>0</v>
      </c>
      <c r="AF13" s="104">
        <v>0</v>
      </c>
      <c r="AG13" s="104">
        <v>0</v>
      </c>
      <c r="AH13" s="104">
        <v>0</v>
      </c>
      <c r="AI13" s="104">
        <v>0</v>
      </c>
      <c r="AJ13" s="104">
        <v>0</v>
      </c>
      <c r="AK13" s="104">
        <v>0</v>
      </c>
      <c r="AL13" s="104">
        <v>0</v>
      </c>
      <c r="AM13" s="104">
        <v>0</v>
      </c>
      <c r="AN13" s="104">
        <v>0</v>
      </c>
      <c r="AO13" s="104">
        <v>0</v>
      </c>
      <c r="AP13" s="104">
        <v>0</v>
      </c>
      <c r="AQ13" s="104">
        <v>0</v>
      </c>
      <c r="AR13" s="104">
        <v>0</v>
      </c>
      <c r="AS13" s="104">
        <v>0</v>
      </c>
      <c r="AT13" s="104">
        <v>0</v>
      </c>
      <c r="AU13" s="104">
        <v>0</v>
      </c>
      <c r="AV13" s="104">
        <v>0</v>
      </c>
      <c r="AW13" s="104">
        <v>0</v>
      </c>
      <c r="AX13" s="108">
        <f t="shared" si="24"/>
        <v>0</v>
      </c>
      <c r="AY13" s="106"/>
      <c r="AZ13" s="103">
        <v>0</v>
      </c>
      <c r="BA13" s="107">
        <v>0</v>
      </c>
      <c r="BB13" s="104">
        <v>0</v>
      </c>
      <c r="BC13" s="104">
        <v>0</v>
      </c>
      <c r="BD13" s="104">
        <v>0</v>
      </c>
      <c r="BE13" s="104">
        <v>0</v>
      </c>
      <c r="BF13" s="104">
        <v>0</v>
      </c>
      <c r="BG13" s="104">
        <v>0</v>
      </c>
      <c r="BH13" s="104">
        <v>0</v>
      </c>
      <c r="BI13" s="104">
        <v>0</v>
      </c>
      <c r="BJ13" s="104">
        <v>0</v>
      </c>
      <c r="BK13" s="104">
        <v>0</v>
      </c>
      <c r="BL13" s="104">
        <v>0</v>
      </c>
      <c r="BM13" s="104">
        <v>0</v>
      </c>
      <c r="BN13" s="104">
        <v>0</v>
      </c>
      <c r="BO13" s="107">
        <v>0</v>
      </c>
      <c r="BP13" s="107">
        <v>0</v>
      </c>
      <c r="BQ13" s="107">
        <v>0</v>
      </c>
      <c r="BR13" s="107">
        <v>0</v>
      </c>
      <c r="BS13" s="107">
        <v>0</v>
      </c>
      <c r="BT13" s="104">
        <v>0</v>
      </c>
      <c r="BU13" s="104">
        <v>0</v>
      </c>
      <c r="BV13" s="107">
        <v>0</v>
      </c>
      <c r="BW13" s="108">
        <f t="shared" si="25"/>
        <v>0</v>
      </c>
      <c r="BX13" s="106"/>
      <c r="BY13" s="103">
        <v>0</v>
      </c>
      <c r="BZ13" s="104">
        <v>0</v>
      </c>
      <c r="CA13" s="104">
        <v>0</v>
      </c>
      <c r="CB13" s="104">
        <v>0</v>
      </c>
      <c r="CC13" s="104">
        <v>0</v>
      </c>
      <c r="CD13" s="104">
        <v>0</v>
      </c>
      <c r="CE13" s="104">
        <v>0</v>
      </c>
      <c r="CF13" s="104">
        <v>0</v>
      </c>
      <c r="CG13" s="104">
        <v>0</v>
      </c>
      <c r="CH13" s="104">
        <v>0</v>
      </c>
      <c r="CI13" s="104">
        <v>0</v>
      </c>
      <c r="CJ13" s="104">
        <v>0</v>
      </c>
      <c r="CK13" s="104">
        <v>0</v>
      </c>
      <c r="CL13" s="104">
        <v>0</v>
      </c>
      <c r="CM13" s="104">
        <v>0</v>
      </c>
      <c r="CN13" s="107">
        <v>0</v>
      </c>
      <c r="CO13" s="107">
        <v>0</v>
      </c>
      <c r="CP13" s="107">
        <v>0</v>
      </c>
      <c r="CQ13" s="107">
        <v>0</v>
      </c>
      <c r="CR13" s="107">
        <v>0</v>
      </c>
      <c r="CS13" s="107">
        <v>0</v>
      </c>
      <c r="CT13" s="107">
        <v>0</v>
      </c>
      <c r="CU13" s="107">
        <v>0</v>
      </c>
      <c r="CV13" s="108">
        <f t="shared" si="26"/>
        <v>0</v>
      </c>
    </row>
    <row r="14" spans="1:100" s="3" customFormat="1">
      <c r="A14" s="3" t="s">
        <v>6</v>
      </c>
      <c r="B14" s="103">
        <f t="shared" si="0"/>
        <v>0</v>
      </c>
      <c r="C14" s="104">
        <f t="shared" si="1"/>
        <v>0</v>
      </c>
      <c r="D14" s="104">
        <f t="shared" si="2"/>
        <v>0</v>
      </c>
      <c r="E14" s="104">
        <f t="shared" si="3"/>
        <v>0</v>
      </c>
      <c r="F14" s="104">
        <f t="shared" si="4"/>
        <v>0</v>
      </c>
      <c r="G14" s="104">
        <f t="shared" si="5"/>
        <v>0</v>
      </c>
      <c r="H14" s="104">
        <f t="shared" si="6"/>
        <v>0</v>
      </c>
      <c r="I14" s="104">
        <f t="shared" si="7"/>
        <v>0</v>
      </c>
      <c r="J14" s="104">
        <f t="shared" si="8"/>
        <v>0</v>
      </c>
      <c r="K14" s="104">
        <f t="shared" si="9"/>
        <v>0</v>
      </c>
      <c r="L14" s="104">
        <f t="shared" si="10"/>
        <v>0</v>
      </c>
      <c r="M14" s="104">
        <f t="shared" si="11"/>
        <v>0</v>
      </c>
      <c r="N14" s="104">
        <f t="shared" si="12"/>
        <v>0</v>
      </c>
      <c r="O14" s="104">
        <f t="shared" si="13"/>
        <v>0</v>
      </c>
      <c r="P14" s="104">
        <f t="shared" si="14"/>
        <v>0</v>
      </c>
      <c r="Q14" s="104">
        <f t="shared" si="15"/>
        <v>0</v>
      </c>
      <c r="R14" s="104">
        <f t="shared" si="16"/>
        <v>0</v>
      </c>
      <c r="S14" s="104">
        <f t="shared" si="17"/>
        <v>0</v>
      </c>
      <c r="T14" s="104">
        <f t="shared" si="18"/>
        <v>0</v>
      </c>
      <c r="U14" s="104">
        <f t="shared" si="19"/>
        <v>0</v>
      </c>
      <c r="V14" s="104">
        <f t="shared" si="20"/>
        <v>0</v>
      </c>
      <c r="W14" s="104">
        <f t="shared" si="21"/>
        <v>0</v>
      </c>
      <c r="X14" s="104">
        <f t="shared" si="22"/>
        <v>0</v>
      </c>
      <c r="Y14" s="105">
        <f t="shared" si="23"/>
        <v>0</v>
      </c>
      <c r="Z14" s="106"/>
      <c r="AA14" s="103">
        <v>0</v>
      </c>
      <c r="AB14" s="107">
        <v>0</v>
      </c>
      <c r="AC14" s="104">
        <v>0</v>
      </c>
      <c r="AD14" s="104">
        <v>0</v>
      </c>
      <c r="AE14" s="104">
        <v>0</v>
      </c>
      <c r="AF14" s="104">
        <v>0</v>
      </c>
      <c r="AG14" s="104">
        <v>0</v>
      </c>
      <c r="AH14" s="104">
        <v>0</v>
      </c>
      <c r="AI14" s="104">
        <v>0</v>
      </c>
      <c r="AJ14" s="104">
        <v>0</v>
      </c>
      <c r="AK14" s="104">
        <v>0</v>
      </c>
      <c r="AL14" s="104">
        <v>0</v>
      </c>
      <c r="AM14" s="104">
        <v>0</v>
      </c>
      <c r="AN14" s="104">
        <v>0</v>
      </c>
      <c r="AO14" s="104">
        <v>0</v>
      </c>
      <c r="AP14" s="104">
        <v>0</v>
      </c>
      <c r="AQ14" s="104">
        <v>0</v>
      </c>
      <c r="AR14" s="104">
        <v>0</v>
      </c>
      <c r="AS14" s="104">
        <v>0</v>
      </c>
      <c r="AT14" s="104">
        <v>0</v>
      </c>
      <c r="AU14" s="104">
        <v>0</v>
      </c>
      <c r="AV14" s="104">
        <v>0</v>
      </c>
      <c r="AW14" s="104">
        <v>0</v>
      </c>
      <c r="AX14" s="108">
        <f t="shared" si="24"/>
        <v>0</v>
      </c>
      <c r="AY14" s="106"/>
      <c r="AZ14" s="103">
        <v>0</v>
      </c>
      <c r="BA14" s="107">
        <v>0</v>
      </c>
      <c r="BB14" s="104">
        <v>0</v>
      </c>
      <c r="BC14" s="104">
        <v>0</v>
      </c>
      <c r="BD14" s="104">
        <v>0</v>
      </c>
      <c r="BE14" s="104">
        <v>0</v>
      </c>
      <c r="BF14" s="104">
        <v>0</v>
      </c>
      <c r="BG14" s="104">
        <v>0</v>
      </c>
      <c r="BH14" s="104">
        <v>0</v>
      </c>
      <c r="BI14" s="104">
        <v>0</v>
      </c>
      <c r="BJ14" s="104">
        <v>0</v>
      </c>
      <c r="BK14" s="104">
        <v>0</v>
      </c>
      <c r="BL14" s="104">
        <v>0</v>
      </c>
      <c r="BM14" s="104">
        <v>0</v>
      </c>
      <c r="BN14" s="104">
        <v>0</v>
      </c>
      <c r="BO14" s="107">
        <v>0</v>
      </c>
      <c r="BP14" s="107">
        <v>0</v>
      </c>
      <c r="BQ14" s="107">
        <v>0</v>
      </c>
      <c r="BR14" s="107">
        <v>0</v>
      </c>
      <c r="BS14" s="107">
        <v>0</v>
      </c>
      <c r="BT14" s="104">
        <v>0</v>
      </c>
      <c r="BU14" s="104">
        <v>0</v>
      </c>
      <c r="BV14" s="107">
        <v>0</v>
      </c>
      <c r="BW14" s="108">
        <f t="shared" si="25"/>
        <v>0</v>
      </c>
      <c r="BX14" s="106"/>
      <c r="BY14" s="103">
        <v>0</v>
      </c>
      <c r="BZ14" s="104">
        <v>0</v>
      </c>
      <c r="CA14" s="104">
        <v>0</v>
      </c>
      <c r="CB14" s="104">
        <v>0</v>
      </c>
      <c r="CC14" s="104">
        <v>0</v>
      </c>
      <c r="CD14" s="104">
        <v>0</v>
      </c>
      <c r="CE14" s="104">
        <v>0</v>
      </c>
      <c r="CF14" s="104">
        <v>0</v>
      </c>
      <c r="CG14" s="104">
        <v>0</v>
      </c>
      <c r="CH14" s="104">
        <v>0</v>
      </c>
      <c r="CI14" s="104">
        <v>0</v>
      </c>
      <c r="CJ14" s="104">
        <v>0</v>
      </c>
      <c r="CK14" s="104">
        <v>0</v>
      </c>
      <c r="CL14" s="104">
        <v>0</v>
      </c>
      <c r="CM14" s="104">
        <v>0</v>
      </c>
      <c r="CN14" s="107">
        <v>0</v>
      </c>
      <c r="CO14" s="107">
        <v>0</v>
      </c>
      <c r="CP14" s="107">
        <v>0</v>
      </c>
      <c r="CQ14" s="107">
        <v>0</v>
      </c>
      <c r="CR14" s="107">
        <v>0</v>
      </c>
      <c r="CS14" s="107">
        <v>0</v>
      </c>
      <c r="CT14" s="107">
        <v>0</v>
      </c>
      <c r="CU14" s="107">
        <v>0</v>
      </c>
      <c r="CV14" s="108">
        <f t="shared" si="26"/>
        <v>0</v>
      </c>
    </row>
    <row r="15" spans="1:100" s="3" customFormat="1">
      <c r="A15" s="3" t="s">
        <v>7</v>
      </c>
      <c r="B15" s="103">
        <f t="shared" si="0"/>
        <v>473295</v>
      </c>
      <c r="C15" s="104">
        <f t="shared" si="1"/>
        <v>0</v>
      </c>
      <c r="D15" s="104">
        <f t="shared" si="2"/>
        <v>503812</v>
      </c>
      <c r="E15" s="104">
        <f t="shared" si="3"/>
        <v>254029.65</v>
      </c>
      <c r="F15" s="104">
        <f t="shared" si="4"/>
        <v>379337.76883499988</v>
      </c>
      <c r="G15" s="104">
        <f t="shared" si="5"/>
        <v>150913.26426285983</v>
      </c>
      <c r="H15" s="104">
        <f t="shared" si="6"/>
        <v>2854867.168396676</v>
      </c>
      <c r="I15" s="104">
        <f t="shared" si="7"/>
        <v>223580.21999999997</v>
      </c>
      <c r="J15" s="104">
        <f t="shared" si="8"/>
        <v>167525</v>
      </c>
      <c r="K15" s="104">
        <f t="shared" si="9"/>
        <v>195659.41653495125</v>
      </c>
      <c r="L15" s="104">
        <f t="shared" si="10"/>
        <v>145199</v>
      </c>
      <c r="M15" s="104">
        <f t="shared" si="11"/>
        <v>190775.46000000002</v>
      </c>
      <c r="N15" s="104">
        <f t="shared" si="12"/>
        <v>189703.3443</v>
      </c>
      <c r="O15" s="104">
        <f t="shared" si="13"/>
        <v>184010.12</v>
      </c>
      <c r="P15" s="104">
        <f t="shared" si="14"/>
        <v>169476.9599869494</v>
      </c>
      <c r="Q15" s="104">
        <f t="shared" si="15"/>
        <v>163701.94400000002</v>
      </c>
      <c r="R15" s="104">
        <f t="shared" si="16"/>
        <v>435837.288</v>
      </c>
      <c r="S15" s="104">
        <f t="shared" si="17"/>
        <v>159019.27190000002</v>
      </c>
      <c r="T15" s="104">
        <f t="shared" si="18"/>
        <v>137957.85922700001</v>
      </c>
      <c r="U15" s="104">
        <f t="shared" si="19"/>
        <v>135039.28330000001</v>
      </c>
      <c r="V15" s="104">
        <f t="shared" si="20"/>
        <v>128909.1312</v>
      </c>
      <c r="W15" s="104">
        <f t="shared" si="21"/>
        <v>1227392.7470184723</v>
      </c>
      <c r="X15" s="104">
        <f t="shared" si="22"/>
        <v>27054.605603404751</v>
      </c>
      <c r="Y15" s="105">
        <f t="shared" si="23"/>
        <v>8497096.5025653131</v>
      </c>
      <c r="Z15" s="106"/>
      <c r="AA15" s="103">
        <v>210353.33333333328</v>
      </c>
      <c r="AB15" s="107">
        <v>0</v>
      </c>
      <c r="AC15" s="104">
        <v>209389.11111111109</v>
      </c>
      <c r="AD15" s="104">
        <v>180878.65</v>
      </c>
      <c r="AE15" s="104">
        <v>197890.44725999996</v>
      </c>
      <c r="AF15" s="104">
        <v>57593.450783493245</v>
      </c>
      <c r="AG15" s="104">
        <v>1240628.5192874114</v>
      </c>
      <c r="AH15" s="104">
        <v>99368.986666666649</v>
      </c>
      <c r="AI15" s="104">
        <v>83079.999999999985</v>
      </c>
      <c r="AJ15" s="104">
        <v>99875.468259977206</v>
      </c>
      <c r="AK15" s="104">
        <v>79068</v>
      </c>
      <c r="AL15" s="104">
        <v>99622.674874888908</v>
      </c>
      <c r="AM15" s="104">
        <v>91970.898316848601</v>
      </c>
      <c r="AN15" s="104">
        <v>93696.709336626504</v>
      </c>
      <c r="AO15" s="104">
        <v>87012.7395491028</v>
      </c>
      <c r="AP15" s="104">
        <v>83528.248573724122</v>
      </c>
      <c r="AQ15" s="104">
        <v>355562.79254399985</v>
      </c>
      <c r="AR15" s="104">
        <v>78699.951761523611</v>
      </c>
      <c r="AS15" s="104">
        <v>63524.472303822229</v>
      </c>
      <c r="AT15" s="104">
        <v>63868.992159828973</v>
      </c>
      <c r="AU15" s="104">
        <v>61698.547752296305</v>
      </c>
      <c r="AV15" s="104">
        <v>564192.57675961929</v>
      </c>
      <c r="AW15" s="104">
        <v>27054.605603404751</v>
      </c>
      <c r="AX15" s="108">
        <f t="shared" si="24"/>
        <v>4128559.1762376782</v>
      </c>
      <c r="AY15" s="106"/>
      <c r="AZ15" s="103">
        <v>262941.66666666669</v>
      </c>
      <c r="BA15" s="107">
        <v>0</v>
      </c>
      <c r="BB15" s="104">
        <v>294422.88888888888</v>
      </c>
      <c r="BC15" s="104">
        <v>73151</v>
      </c>
      <c r="BD15" s="104">
        <v>162080.32157499995</v>
      </c>
      <c r="BE15" s="104">
        <v>71991.813479366567</v>
      </c>
      <c r="BF15" s="104">
        <v>1550785.6491092644</v>
      </c>
      <c r="BG15" s="104">
        <v>124211.23333333334</v>
      </c>
      <c r="BH15" s="104">
        <v>84445</v>
      </c>
      <c r="BI15" s="104">
        <v>95783.948274974027</v>
      </c>
      <c r="BJ15" s="104">
        <v>66131</v>
      </c>
      <c r="BK15" s="104">
        <v>91152.785125111099</v>
      </c>
      <c r="BL15" s="104">
        <v>97732.44598315141</v>
      </c>
      <c r="BM15" s="104">
        <v>90313.410663373492</v>
      </c>
      <c r="BN15" s="104">
        <v>82464.220437846612</v>
      </c>
      <c r="BO15" s="107">
        <v>80173.695426275895</v>
      </c>
      <c r="BP15" s="107">
        <v>80274.495456000164</v>
      </c>
      <c r="BQ15" s="107">
        <v>80319.320138476411</v>
      </c>
      <c r="BR15" s="107">
        <v>74433.386923177779</v>
      </c>
      <c r="BS15" s="107">
        <v>71170.29114017103</v>
      </c>
      <c r="BT15" s="104">
        <v>67210.583447703699</v>
      </c>
      <c r="BU15" s="104">
        <v>663200.170258853</v>
      </c>
      <c r="BV15" s="107">
        <v>0</v>
      </c>
      <c r="BW15" s="108">
        <f t="shared" si="25"/>
        <v>4264389.326327635</v>
      </c>
      <c r="BX15" s="106"/>
      <c r="BY15" s="109">
        <v>0</v>
      </c>
      <c r="BZ15" s="104">
        <v>0</v>
      </c>
      <c r="CA15" s="104">
        <v>0</v>
      </c>
      <c r="CB15" s="104">
        <v>0</v>
      </c>
      <c r="CC15" s="104">
        <v>19367</v>
      </c>
      <c r="CD15" s="104">
        <v>21328</v>
      </c>
      <c r="CE15" s="104">
        <v>63453</v>
      </c>
      <c r="CF15" s="104">
        <v>0</v>
      </c>
      <c r="CG15" s="104">
        <v>0</v>
      </c>
      <c r="CH15" s="104">
        <v>0</v>
      </c>
      <c r="CI15" s="110">
        <v>0</v>
      </c>
      <c r="CJ15" s="110">
        <v>0</v>
      </c>
      <c r="CK15" s="110">
        <v>0</v>
      </c>
      <c r="CL15" s="110">
        <v>0</v>
      </c>
      <c r="CM15" s="110">
        <v>0</v>
      </c>
      <c r="CN15" s="107">
        <v>0</v>
      </c>
      <c r="CO15" s="107">
        <v>0</v>
      </c>
      <c r="CP15" s="107">
        <v>0</v>
      </c>
      <c r="CQ15" s="107">
        <v>0</v>
      </c>
      <c r="CR15" s="107">
        <v>0</v>
      </c>
      <c r="CS15" s="107">
        <v>0</v>
      </c>
      <c r="CT15" s="107">
        <v>0</v>
      </c>
      <c r="CU15" s="107">
        <v>0</v>
      </c>
      <c r="CV15" s="108">
        <f t="shared" si="26"/>
        <v>104148</v>
      </c>
    </row>
    <row r="16" spans="1:100" s="3" customFormat="1">
      <c r="A16" s="3" t="s">
        <v>416</v>
      </c>
      <c r="B16" s="103">
        <f t="shared" si="0"/>
        <v>0</v>
      </c>
      <c r="C16" s="104">
        <f t="shared" si="1"/>
        <v>0</v>
      </c>
      <c r="D16" s="104">
        <f t="shared" si="2"/>
        <v>0</v>
      </c>
      <c r="E16" s="104">
        <f t="shared" si="3"/>
        <v>0</v>
      </c>
      <c r="F16" s="104">
        <f t="shared" si="4"/>
        <v>0</v>
      </c>
      <c r="G16" s="104">
        <f t="shared" si="5"/>
        <v>0</v>
      </c>
      <c r="H16" s="104">
        <f t="shared" si="6"/>
        <v>0</v>
      </c>
      <c r="I16" s="104">
        <f t="shared" si="7"/>
        <v>0</v>
      </c>
      <c r="J16" s="104">
        <f t="shared" si="8"/>
        <v>0</v>
      </c>
      <c r="K16" s="104">
        <f t="shared" si="9"/>
        <v>0</v>
      </c>
      <c r="L16" s="104">
        <f t="shared" si="10"/>
        <v>0</v>
      </c>
      <c r="M16" s="104">
        <f t="shared" si="11"/>
        <v>0</v>
      </c>
      <c r="N16" s="104">
        <f t="shared" si="12"/>
        <v>0</v>
      </c>
      <c r="O16" s="104">
        <f t="shared" si="13"/>
        <v>0</v>
      </c>
      <c r="P16" s="104">
        <f t="shared" si="14"/>
        <v>0</v>
      </c>
      <c r="Q16" s="104">
        <f t="shared" si="15"/>
        <v>0</v>
      </c>
      <c r="R16" s="104">
        <f t="shared" si="16"/>
        <v>0</v>
      </c>
      <c r="S16" s="104">
        <f t="shared" si="17"/>
        <v>0</v>
      </c>
      <c r="T16" s="104">
        <f t="shared" si="18"/>
        <v>0</v>
      </c>
      <c r="U16" s="104">
        <f t="shared" si="19"/>
        <v>0</v>
      </c>
      <c r="V16" s="104">
        <f t="shared" si="20"/>
        <v>0</v>
      </c>
      <c r="W16" s="104">
        <f t="shared" si="21"/>
        <v>0</v>
      </c>
      <c r="X16" s="104">
        <f t="shared" si="22"/>
        <v>0</v>
      </c>
      <c r="Y16" s="105">
        <f t="shared" si="23"/>
        <v>0</v>
      </c>
      <c r="Z16" s="106"/>
      <c r="AA16" s="103">
        <v>0</v>
      </c>
      <c r="AB16" s="107">
        <v>0</v>
      </c>
      <c r="AC16" s="104">
        <v>0</v>
      </c>
      <c r="AD16" s="104">
        <v>0</v>
      </c>
      <c r="AE16" s="104">
        <v>0</v>
      </c>
      <c r="AF16" s="104">
        <v>0</v>
      </c>
      <c r="AG16" s="104">
        <v>0</v>
      </c>
      <c r="AH16" s="104">
        <v>0</v>
      </c>
      <c r="AI16" s="104">
        <v>0</v>
      </c>
      <c r="AJ16" s="104">
        <v>0</v>
      </c>
      <c r="AK16" s="104">
        <v>0</v>
      </c>
      <c r="AL16" s="104">
        <v>0</v>
      </c>
      <c r="AM16" s="104">
        <v>0</v>
      </c>
      <c r="AN16" s="104">
        <v>0</v>
      </c>
      <c r="AO16" s="104">
        <v>0</v>
      </c>
      <c r="AP16" s="104">
        <v>0</v>
      </c>
      <c r="AQ16" s="104">
        <v>0</v>
      </c>
      <c r="AR16" s="104">
        <v>0</v>
      </c>
      <c r="AS16" s="104">
        <v>0</v>
      </c>
      <c r="AT16" s="104">
        <v>0</v>
      </c>
      <c r="AU16" s="104">
        <v>0</v>
      </c>
      <c r="AV16" s="104">
        <v>0</v>
      </c>
      <c r="AW16" s="104">
        <v>0</v>
      </c>
      <c r="AX16" s="108">
        <f t="shared" si="24"/>
        <v>0</v>
      </c>
      <c r="AY16" s="106"/>
      <c r="AZ16" s="103">
        <v>0</v>
      </c>
      <c r="BA16" s="107">
        <v>0</v>
      </c>
      <c r="BB16" s="104">
        <v>0</v>
      </c>
      <c r="BC16" s="104">
        <v>0</v>
      </c>
      <c r="BD16" s="104">
        <v>0</v>
      </c>
      <c r="BE16" s="104">
        <v>0</v>
      </c>
      <c r="BF16" s="104">
        <v>0</v>
      </c>
      <c r="BG16" s="104">
        <v>0</v>
      </c>
      <c r="BH16" s="104">
        <v>0</v>
      </c>
      <c r="BI16" s="104">
        <v>0</v>
      </c>
      <c r="BJ16" s="104">
        <v>0</v>
      </c>
      <c r="BK16" s="104">
        <v>0</v>
      </c>
      <c r="BL16" s="104">
        <v>0</v>
      </c>
      <c r="BM16" s="104">
        <v>0</v>
      </c>
      <c r="BN16" s="104">
        <v>0</v>
      </c>
      <c r="BO16" s="107">
        <v>0</v>
      </c>
      <c r="BP16" s="107">
        <v>0</v>
      </c>
      <c r="BQ16" s="107">
        <v>0</v>
      </c>
      <c r="BR16" s="107">
        <v>0</v>
      </c>
      <c r="BS16" s="107">
        <v>0</v>
      </c>
      <c r="BT16" s="104">
        <v>0</v>
      </c>
      <c r="BU16" s="104">
        <v>0</v>
      </c>
      <c r="BV16" s="107">
        <v>0</v>
      </c>
      <c r="BW16" s="108">
        <f t="shared" si="25"/>
        <v>0</v>
      </c>
      <c r="BX16" s="106"/>
      <c r="BY16" s="103">
        <v>0</v>
      </c>
      <c r="BZ16" s="104">
        <v>0</v>
      </c>
      <c r="CA16" s="104">
        <v>0</v>
      </c>
      <c r="CB16" s="104">
        <v>0</v>
      </c>
      <c r="CC16" s="104">
        <v>0</v>
      </c>
      <c r="CD16" s="104">
        <v>0</v>
      </c>
      <c r="CE16" s="104">
        <v>0</v>
      </c>
      <c r="CF16" s="104">
        <v>0</v>
      </c>
      <c r="CG16" s="104">
        <v>0</v>
      </c>
      <c r="CH16" s="104">
        <v>0</v>
      </c>
      <c r="CI16" s="104">
        <v>0</v>
      </c>
      <c r="CJ16" s="104">
        <v>0</v>
      </c>
      <c r="CK16" s="104">
        <v>0</v>
      </c>
      <c r="CL16" s="104">
        <v>0</v>
      </c>
      <c r="CM16" s="104">
        <v>0</v>
      </c>
      <c r="CN16" s="107">
        <v>0</v>
      </c>
      <c r="CO16" s="107">
        <v>0</v>
      </c>
      <c r="CP16" s="107">
        <v>0</v>
      </c>
      <c r="CQ16" s="107">
        <v>0</v>
      </c>
      <c r="CR16" s="107">
        <v>0</v>
      </c>
      <c r="CS16" s="107">
        <v>0</v>
      </c>
      <c r="CT16" s="107">
        <v>0</v>
      </c>
      <c r="CU16" s="107">
        <v>0</v>
      </c>
      <c r="CV16" s="108">
        <f t="shared" si="26"/>
        <v>0</v>
      </c>
    </row>
    <row r="17" spans="1:100" s="3" customFormat="1">
      <c r="A17" s="3" t="s">
        <v>9</v>
      </c>
      <c r="B17" s="103">
        <f t="shared" si="0"/>
        <v>6300354</v>
      </c>
      <c r="C17" s="104">
        <f t="shared" si="1"/>
        <v>0</v>
      </c>
      <c r="D17" s="104">
        <f t="shared" si="2"/>
        <v>18176441</v>
      </c>
      <c r="E17" s="104">
        <f t="shared" si="3"/>
        <v>5452349.3199999994</v>
      </c>
      <c r="F17" s="104">
        <f t="shared" si="4"/>
        <v>5046166</v>
      </c>
      <c r="G17" s="104">
        <f t="shared" si="5"/>
        <v>8626442.8556083608</v>
      </c>
      <c r="H17" s="104">
        <f t="shared" si="6"/>
        <v>73610171.643408164</v>
      </c>
      <c r="I17" s="104">
        <f t="shared" si="7"/>
        <v>5306274.09</v>
      </c>
      <c r="J17" s="104">
        <f t="shared" si="8"/>
        <v>4460072</v>
      </c>
      <c r="K17" s="104">
        <f t="shared" si="9"/>
        <v>5019916.0503110327</v>
      </c>
      <c r="L17" s="104">
        <f t="shared" si="10"/>
        <v>5564413</v>
      </c>
      <c r="M17" s="104">
        <f t="shared" si="11"/>
        <v>4858286.8199999994</v>
      </c>
      <c r="N17" s="104">
        <f t="shared" si="12"/>
        <v>5178996.7687999997</v>
      </c>
      <c r="O17" s="104">
        <f t="shared" si="13"/>
        <v>4741451.7649999997</v>
      </c>
      <c r="P17" s="104">
        <f t="shared" si="14"/>
        <v>4358748.1433010399</v>
      </c>
      <c r="Q17" s="104">
        <f t="shared" si="15"/>
        <v>4195870.2139999997</v>
      </c>
      <c r="R17" s="104">
        <f t="shared" si="16"/>
        <v>4017986.2579999999</v>
      </c>
      <c r="S17" s="104">
        <f t="shared" si="17"/>
        <v>4180303.2503999998</v>
      </c>
      <c r="T17" s="104">
        <f t="shared" si="18"/>
        <v>3839561.8479320006</v>
      </c>
      <c r="U17" s="104">
        <f t="shared" si="19"/>
        <v>3659384.042799999</v>
      </c>
      <c r="V17" s="104">
        <f t="shared" si="20"/>
        <v>3458112.1692000004</v>
      </c>
      <c r="W17" s="104">
        <f t="shared" si="21"/>
        <v>29936602</v>
      </c>
      <c r="X17" s="104">
        <f t="shared" si="22"/>
        <v>333373.47688893427</v>
      </c>
      <c r="Y17" s="105">
        <f t="shared" si="23"/>
        <v>210321276.71564949</v>
      </c>
      <c r="Z17" s="106"/>
      <c r="AA17" s="103">
        <v>2946520.440165062</v>
      </c>
      <c r="AB17" s="107">
        <v>0</v>
      </c>
      <c r="AC17" s="104">
        <v>8397987.4264099039</v>
      </c>
      <c r="AD17" s="104">
        <v>3892357.1810729019</v>
      </c>
      <c r="AE17" s="104">
        <v>2359967.5928473179</v>
      </c>
      <c r="AF17" s="104">
        <v>4034374.9255940067</v>
      </c>
      <c r="AG17" s="104">
        <v>34425664.86761868</v>
      </c>
      <c r="AH17" s="104">
        <v>2481613.7422283357</v>
      </c>
      <c r="AI17" s="104">
        <v>2290562.7551581841</v>
      </c>
      <c r="AJ17" s="104">
        <v>2550056.8999422686</v>
      </c>
      <c r="AK17" s="104">
        <v>2751426</v>
      </c>
      <c r="AL17" s="104">
        <v>2425521.4520471483</v>
      </c>
      <c r="AM17" s="104">
        <v>2570583.1053358042</v>
      </c>
      <c r="AN17" s="104">
        <v>2331594.0362360198</v>
      </c>
      <c r="AO17" s="104">
        <v>2158980.2041613753</v>
      </c>
      <c r="AP17" s="104">
        <v>2056310.2455825727</v>
      </c>
      <c r="AQ17" s="104">
        <v>1875452.546375067</v>
      </c>
      <c r="AR17" s="104">
        <v>2036485.6576013961</v>
      </c>
      <c r="AS17" s="104">
        <v>1852900.464528037</v>
      </c>
      <c r="AT17" s="104">
        <v>1759799.6803705231</v>
      </c>
      <c r="AU17" s="104">
        <v>1664264.7443952786</v>
      </c>
      <c r="AV17" s="104">
        <v>13977371.048469163</v>
      </c>
      <c r="AW17" s="104">
        <v>333373.47688893427</v>
      </c>
      <c r="AX17" s="108">
        <f t="shared" si="24"/>
        <v>101173168.493028</v>
      </c>
      <c r="AY17" s="106"/>
      <c r="AZ17" s="103">
        <v>3353833.5598349376</v>
      </c>
      <c r="BA17" s="107">
        <v>0</v>
      </c>
      <c r="BB17" s="104">
        <v>9778453.5735900961</v>
      </c>
      <c r="BC17" s="104">
        <v>1559992.1389270974</v>
      </c>
      <c r="BD17" s="104">
        <v>2686198.4071526821</v>
      </c>
      <c r="BE17" s="104">
        <v>4592067.9300143542</v>
      </c>
      <c r="BF17" s="104">
        <v>39184506.775789484</v>
      </c>
      <c r="BG17" s="104">
        <v>2824660.3477716642</v>
      </c>
      <c r="BH17" s="104">
        <v>2169509.2448418154</v>
      </c>
      <c r="BI17" s="104">
        <v>2469859.1503687636</v>
      </c>
      <c r="BJ17" s="104">
        <v>2812987</v>
      </c>
      <c r="BK17" s="104">
        <v>2432765.3679528511</v>
      </c>
      <c r="BL17" s="104">
        <v>2608413.6634641951</v>
      </c>
      <c r="BM17" s="104">
        <v>2409857.7287639799</v>
      </c>
      <c r="BN17" s="104">
        <v>2199767.9391396646</v>
      </c>
      <c r="BO17" s="107">
        <v>2139559.968417427</v>
      </c>
      <c r="BP17" s="107">
        <v>2142533.7116249329</v>
      </c>
      <c r="BQ17" s="107">
        <v>2143817.5927986037</v>
      </c>
      <c r="BR17" s="107">
        <v>1986661.3834039634</v>
      </c>
      <c r="BS17" s="107">
        <v>1899584.3624294761</v>
      </c>
      <c r="BT17" s="104">
        <v>1793847.4248047217</v>
      </c>
      <c r="BU17" s="104">
        <v>15959230.951530835</v>
      </c>
      <c r="BV17" s="107">
        <v>0</v>
      </c>
      <c r="BW17" s="108">
        <f t="shared" si="25"/>
        <v>109148108.22262152</v>
      </c>
      <c r="BX17" s="106"/>
      <c r="BY17" s="109">
        <v>0</v>
      </c>
      <c r="BZ17" s="104">
        <v>0</v>
      </c>
      <c r="CA17" s="104">
        <v>0</v>
      </c>
      <c r="CB17" s="104">
        <v>0</v>
      </c>
      <c r="CC17" s="104">
        <v>0</v>
      </c>
      <c r="CD17" s="104">
        <v>0</v>
      </c>
      <c r="CE17" s="104">
        <v>0</v>
      </c>
      <c r="CF17" s="104">
        <v>0</v>
      </c>
      <c r="CG17" s="104">
        <v>0</v>
      </c>
      <c r="CH17" s="104">
        <v>0</v>
      </c>
      <c r="CI17" s="110">
        <v>0</v>
      </c>
      <c r="CJ17" s="110">
        <v>0</v>
      </c>
      <c r="CK17" s="110">
        <v>0</v>
      </c>
      <c r="CL17" s="110">
        <v>0</v>
      </c>
      <c r="CM17" s="110">
        <v>0</v>
      </c>
      <c r="CN17" s="107">
        <v>0</v>
      </c>
      <c r="CO17" s="107">
        <v>0</v>
      </c>
      <c r="CP17" s="107">
        <v>0</v>
      </c>
      <c r="CQ17" s="107">
        <v>0</v>
      </c>
      <c r="CR17" s="107">
        <v>0</v>
      </c>
      <c r="CS17" s="107">
        <v>0</v>
      </c>
      <c r="CT17" s="107">
        <v>0</v>
      </c>
      <c r="CU17" s="107">
        <v>0</v>
      </c>
      <c r="CV17" s="108">
        <f t="shared" si="26"/>
        <v>0</v>
      </c>
    </row>
    <row r="18" spans="1:100" s="3" customFormat="1">
      <c r="A18" s="3" t="s">
        <v>10</v>
      </c>
      <c r="B18" s="103">
        <f t="shared" si="0"/>
        <v>2521857</v>
      </c>
      <c r="C18" s="104">
        <f t="shared" si="1"/>
        <v>0</v>
      </c>
      <c r="D18" s="104">
        <f t="shared" si="2"/>
        <v>891566</v>
      </c>
      <c r="E18" s="104">
        <f t="shared" si="3"/>
        <v>3863099.49</v>
      </c>
      <c r="F18" s="104">
        <f t="shared" si="4"/>
        <v>1489014.53406</v>
      </c>
      <c r="G18" s="104">
        <f t="shared" si="5"/>
        <v>2266975.0128084021</v>
      </c>
      <c r="H18" s="104">
        <f t="shared" si="6"/>
        <v>19764340.666880317</v>
      </c>
      <c r="I18" s="104">
        <f t="shared" si="7"/>
        <v>1341364.77</v>
      </c>
      <c r="J18" s="104">
        <f t="shared" si="8"/>
        <v>1011306</v>
      </c>
      <c r="K18" s="104">
        <f t="shared" si="9"/>
        <v>1238617.6793043581</v>
      </c>
      <c r="L18" s="104">
        <f t="shared" si="10"/>
        <v>1488722</v>
      </c>
      <c r="M18" s="104">
        <f t="shared" si="11"/>
        <v>1214406.5899999999</v>
      </c>
      <c r="N18" s="104">
        <f t="shared" si="12"/>
        <v>1253022.9665999997</v>
      </c>
      <c r="O18" s="104">
        <f t="shared" si="13"/>
        <v>1161412.54</v>
      </c>
      <c r="P18" s="104">
        <f t="shared" si="14"/>
        <v>1040757.4156550525</v>
      </c>
      <c r="Q18" s="104">
        <f t="shared" si="15"/>
        <v>1019038.7879999998</v>
      </c>
      <c r="R18" s="104">
        <f t="shared" si="16"/>
        <v>1143445.5859999997</v>
      </c>
      <c r="S18" s="104">
        <f t="shared" si="17"/>
        <v>1002316.3077999998</v>
      </c>
      <c r="T18" s="104">
        <f t="shared" si="18"/>
        <v>932805.76057399996</v>
      </c>
      <c r="U18" s="104">
        <f t="shared" si="19"/>
        <v>882654.16459999979</v>
      </c>
      <c r="V18" s="104">
        <f t="shared" si="20"/>
        <v>840371.49439999997</v>
      </c>
      <c r="W18" s="104">
        <f t="shared" si="21"/>
        <v>7894737.4193742815</v>
      </c>
      <c r="X18" s="104">
        <f t="shared" si="22"/>
        <v>136861.81362763068</v>
      </c>
      <c r="Y18" s="105">
        <f t="shared" si="23"/>
        <v>54398693.999684051</v>
      </c>
      <c r="Z18" s="106"/>
      <c r="AA18" s="103">
        <v>1231604.5813953488</v>
      </c>
      <c r="AB18" s="107">
        <v>0</v>
      </c>
      <c r="AC18" s="104">
        <v>415712.32558139536</v>
      </c>
      <c r="AD18" s="104">
        <v>2482410.0713953488</v>
      </c>
      <c r="AE18" s="104">
        <v>1131573.3845409302</v>
      </c>
      <c r="AF18" s="104">
        <v>1107072.6341622428</v>
      </c>
      <c r="AG18" s="104">
        <v>8512233.6047555022</v>
      </c>
      <c r="AH18" s="104">
        <v>655085.12023255811</v>
      </c>
      <c r="AI18" s="104">
        <v>573269.62790697673</v>
      </c>
      <c r="AJ18" s="104">
        <v>676857.07722193177</v>
      </c>
      <c r="AK18" s="104">
        <v>783653</v>
      </c>
      <c r="AL18" s="104">
        <v>655191.88944682735</v>
      </c>
      <c r="AM18" s="104">
        <v>653492.18491656112</v>
      </c>
      <c r="AN18" s="104">
        <v>607511.51310727524</v>
      </c>
      <c r="AO18" s="104">
        <v>535217.22026606882</v>
      </c>
      <c r="AP18" s="104">
        <v>526976.49010892375</v>
      </c>
      <c r="AQ18" s="104">
        <v>650907.39174687956</v>
      </c>
      <c r="AR18" s="104">
        <v>509793.62747234793</v>
      </c>
      <c r="AS18" s="104">
        <v>476170.05537554983</v>
      </c>
      <c r="AT18" s="104">
        <v>446043.93535569496</v>
      </c>
      <c r="AU18" s="104">
        <v>428042.90263614611</v>
      </c>
      <c r="AV18" s="104">
        <v>3830022.8060926753</v>
      </c>
      <c r="AW18" s="104">
        <v>136861.81362763068</v>
      </c>
      <c r="AX18" s="108">
        <f t="shared" si="24"/>
        <v>27025703.257344812</v>
      </c>
      <c r="AY18" s="106"/>
      <c r="AZ18" s="103">
        <v>1290252.4186046512</v>
      </c>
      <c r="BA18" s="107">
        <v>0</v>
      </c>
      <c r="BB18" s="104">
        <v>475853.67441860464</v>
      </c>
      <c r="BC18" s="104">
        <v>1380689.4186046512</v>
      </c>
      <c r="BD18" s="104">
        <v>357441.14951906976</v>
      </c>
      <c r="BE18" s="104">
        <v>1159790.3786461593</v>
      </c>
      <c r="BF18" s="104">
        <v>8917578.062124813</v>
      </c>
      <c r="BG18" s="104">
        <v>686279.64976744191</v>
      </c>
      <c r="BH18" s="104">
        <v>438036.37209302327</v>
      </c>
      <c r="BI18" s="104">
        <v>561760.60208242643</v>
      </c>
      <c r="BJ18" s="104">
        <v>705069</v>
      </c>
      <c r="BK18" s="104">
        <v>559214.70055317262</v>
      </c>
      <c r="BL18" s="104">
        <v>599530.78168343857</v>
      </c>
      <c r="BM18" s="104">
        <v>553901.02689272468</v>
      </c>
      <c r="BN18" s="104">
        <v>505540.19538898364</v>
      </c>
      <c r="BO18" s="107">
        <v>492062.29789107607</v>
      </c>
      <c r="BP18" s="107">
        <v>492538.19425312022</v>
      </c>
      <c r="BQ18" s="107">
        <v>492522.68032765196</v>
      </c>
      <c r="BR18" s="107">
        <v>456635.70519845007</v>
      </c>
      <c r="BS18" s="107">
        <v>436610.22924430488</v>
      </c>
      <c r="BT18" s="104">
        <v>412328.59176385385</v>
      </c>
      <c r="BU18" s="104">
        <v>4064714.6132816067</v>
      </c>
      <c r="BV18" s="107">
        <v>0</v>
      </c>
      <c r="BW18" s="108">
        <f t="shared" si="25"/>
        <v>25038349.742339227</v>
      </c>
      <c r="BX18" s="106"/>
      <c r="BY18" s="109">
        <v>0</v>
      </c>
      <c r="BZ18" s="104">
        <v>0</v>
      </c>
      <c r="CA18" s="104">
        <v>0</v>
      </c>
      <c r="CB18" s="104">
        <v>0</v>
      </c>
      <c r="CC18" s="104">
        <v>0</v>
      </c>
      <c r="CD18" s="104">
        <v>112</v>
      </c>
      <c r="CE18" s="104">
        <v>2334529</v>
      </c>
      <c r="CF18" s="104">
        <v>0</v>
      </c>
      <c r="CG18" s="104">
        <v>0</v>
      </c>
      <c r="CH18" s="104">
        <v>0</v>
      </c>
      <c r="CI18" s="110">
        <v>0</v>
      </c>
      <c r="CJ18" s="110">
        <v>0</v>
      </c>
      <c r="CK18" s="110">
        <v>0</v>
      </c>
      <c r="CL18" s="110">
        <v>0</v>
      </c>
      <c r="CM18" s="110">
        <v>0</v>
      </c>
      <c r="CN18" s="107">
        <v>0</v>
      </c>
      <c r="CO18" s="107">
        <v>0</v>
      </c>
      <c r="CP18" s="107">
        <v>0</v>
      </c>
      <c r="CQ18" s="107">
        <v>0</v>
      </c>
      <c r="CR18" s="107">
        <v>0</v>
      </c>
      <c r="CS18" s="107">
        <v>0</v>
      </c>
      <c r="CT18" s="107">
        <v>0</v>
      </c>
      <c r="CU18" s="107">
        <v>0</v>
      </c>
      <c r="CV18" s="108">
        <f t="shared" si="26"/>
        <v>2334641</v>
      </c>
    </row>
    <row r="19" spans="1:100" s="3" customFormat="1">
      <c r="A19" s="3" t="s">
        <v>11</v>
      </c>
      <c r="B19" s="103">
        <f t="shared" si="0"/>
        <v>1338635</v>
      </c>
      <c r="C19" s="104">
        <f t="shared" si="1"/>
        <v>0</v>
      </c>
      <c r="D19" s="104">
        <f t="shared" si="2"/>
        <v>1926142</v>
      </c>
      <c r="E19" s="104">
        <f t="shared" si="3"/>
        <v>2975668.69</v>
      </c>
      <c r="F19" s="104">
        <f t="shared" si="4"/>
        <v>1270221.6081700004</v>
      </c>
      <c r="G19" s="104">
        <f t="shared" si="5"/>
        <v>1966069.8583669814</v>
      </c>
      <c r="H19" s="104">
        <f t="shared" si="6"/>
        <v>15555854.32740012</v>
      </c>
      <c r="I19" s="104">
        <f t="shared" si="7"/>
        <v>1112140.94</v>
      </c>
      <c r="J19" s="104">
        <f t="shared" si="8"/>
        <v>975938</v>
      </c>
      <c r="K19" s="104">
        <f t="shared" si="9"/>
        <v>1031288.7568958019</v>
      </c>
      <c r="L19" s="104">
        <f t="shared" si="10"/>
        <v>968713</v>
      </c>
      <c r="M19" s="104">
        <f t="shared" si="11"/>
        <v>1007492.4850000001</v>
      </c>
      <c r="N19" s="104">
        <f t="shared" si="12"/>
        <v>1070123.2286</v>
      </c>
      <c r="O19" s="104">
        <f t="shared" si="13"/>
        <v>993760.79</v>
      </c>
      <c r="P19" s="104">
        <f t="shared" si="14"/>
        <v>902869.07906163624</v>
      </c>
      <c r="Q19" s="104">
        <f t="shared" si="15"/>
        <v>876215.26799999992</v>
      </c>
      <c r="R19" s="104">
        <f t="shared" si="16"/>
        <v>904098.00599999994</v>
      </c>
      <c r="S19" s="104">
        <f t="shared" si="17"/>
        <v>874174.51380000007</v>
      </c>
      <c r="T19" s="104">
        <f t="shared" si="18"/>
        <v>798277.41855399997</v>
      </c>
      <c r="U19" s="104">
        <f t="shared" si="19"/>
        <v>768344.06660000002</v>
      </c>
      <c r="V19" s="104">
        <f t="shared" si="20"/>
        <v>7236201.7965478189</v>
      </c>
      <c r="W19" s="104">
        <f t="shared" si="21"/>
        <v>19050</v>
      </c>
      <c r="X19" s="104">
        <f t="shared" si="22"/>
        <v>95779.638867284986</v>
      </c>
      <c r="Y19" s="105">
        <f t="shared" si="23"/>
        <v>44667058.471863635</v>
      </c>
      <c r="Z19" s="106"/>
      <c r="AA19" s="103">
        <v>808396.46103896096</v>
      </c>
      <c r="AB19" s="107">
        <v>0</v>
      </c>
      <c r="AC19" s="104">
        <v>1116305.3441558441</v>
      </c>
      <c r="AD19" s="104">
        <v>1852945.8848051946</v>
      </c>
      <c r="AE19" s="104">
        <v>887349.60363512998</v>
      </c>
      <c r="AF19" s="104">
        <v>1187301.9274553847</v>
      </c>
      <c r="AG19" s="104">
        <v>9394119.8210922796</v>
      </c>
      <c r="AH19" s="104">
        <v>671617.58064935065</v>
      </c>
      <c r="AI19" s="104">
        <v>611608.76623376622</v>
      </c>
      <c r="AJ19" s="104">
        <v>641720.6176636637</v>
      </c>
      <c r="AK19" s="104">
        <v>592402</v>
      </c>
      <c r="AL19" s="104">
        <v>616284.61227108561</v>
      </c>
      <c r="AM19" s="104">
        <v>650670.58418647002</v>
      </c>
      <c r="AN19" s="104">
        <v>606330.13334206189</v>
      </c>
      <c r="AO19" s="104">
        <v>549034.30144263711</v>
      </c>
      <c r="AP19" s="104">
        <v>532110.60615448689</v>
      </c>
      <c r="AQ19" s="104">
        <v>559519.27179437911</v>
      </c>
      <c r="AR19" s="104">
        <v>529432.42259862483</v>
      </c>
      <c r="AS19" s="104">
        <v>478819.2690163799</v>
      </c>
      <c r="AT19" s="104">
        <v>462882.62365069828</v>
      </c>
      <c r="AU19" s="104">
        <v>4289916.2098471299</v>
      </c>
      <c r="AV19" s="104">
        <v>19050</v>
      </c>
      <c r="AW19" s="104">
        <v>95779.638867284986</v>
      </c>
      <c r="AX19" s="108">
        <f t="shared" si="24"/>
        <v>27153597.679900814</v>
      </c>
      <c r="AY19" s="106"/>
      <c r="AZ19" s="103">
        <v>530238.53896103904</v>
      </c>
      <c r="BA19" s="107">
        <v>0</v>
      </c>
      <c r="BB19" s="104">
        <v>809836.65584415593</v>
      </c>
      <c r="BC19" s="104">
        <v>1122722.8051948054</v>
      </c>
      <c r="BD19" s="104">
        <v>382872.00453487033</v>
      </c>
      <c r="BE19" s="104">
        <v>778767.93091159663</v>
      </c>
      <c r="BF19" s="104">
        <v>6161734.5063078403</v>
      </c>
      <c r="BG19" s="104">
        <v>440523.35935064941</v>
      </c>
      <c r="BH19" s="104">
        <v>364329.23376623378</v>
      </c>
      <c r="BI19" s="104">
        <v>389568.13923213817</v>
      </c>
      <c r="BJ19" s="104">
        <v>376311</v>
      </c>
      <c r="BK19" s="104">
        <v>391207.87272891443</v>
      </c>
      <c r="BL19" s="104">
        <v>419452.64441353007</v>
      </c>
      <c r="BM19" s="104">
        <v>387430.65665793815</v>
      </c>
      <c r="BN19" s="104">
        <v>353834.77761899913</v>
      </c>
      <c r="BO19" s="107">
        <v>344104.66184551304</v>
      </c>
      <c r="BP19" s="107">
        <v>344578.73420562083</v>
      </c>
      <c r="BQ19" s="107">
        <v>344742.0912013753</v>
      </c>
      <c r="BR19" s="107">
        <v>319458.14953762008</v>
      </c>
      <c r="BS19" s="107">
        <v>305461.44294930174</v>
      </c>
      <c r="BT19" s="104">
        <v>2946285.5867006886</v>
      </c>
      <c r="BU19" s="104">
        <v>0</v>
      </c>
      <c r="BV19" s="107">
        <v>0</v>
      </c>
      <c r="BW19" s="108">
        <f t="shared" si="25"/>
        <v>17513460.791962828</v>
      </c>
      <c r="BX19" s="106"/>
      <c r="BY19" s="109">
        <v>0</v>
      </c>
      <c r="BZ19" s="104">
        <v>0</v>
      </c>
      <c r="CA19" s="104">
        <v>0</v>
      </c>
      <c r="CB19" s="104">
        <v>0</v>
      </c>
      <c r="CC19" s="104">
        <v>0</v>
      </c>
      <c r="CD19" s="104">
        <v>0</v>
      </c>
      <c r="CE19" s="104">
        <v>0</v>
      </c>
      <c r="CF19" s="104">
        <v>0</v>
      </c>
      <c r="CG19" s="104">
        <v>0</v>
      </c>
      <c r="CH19" s="104">
        <v>0</v>
      </c>
      <c r="CI19" s="110">
        <v>0</v>
      </c>
      <c r="CJ19" s="110">
        <v>0</v>
      </c>
      <c r="CK19" s="110">
        <v>0</v>
      </c>
      <c r="CL19" s="110">
        <v>0</v>
      </c>
      <c r="CM19" s="110">
        <v>0</v>
      </c>
      <c r="CN19" s="107">
        <v>0</v>
      </c>
      <c r="CO19" s="107">
        <v>0</v>
      </c>
      <c r="CP19" s="107">
        <v>0</v>
      </c>
      <c r="CQ19" s="107">
        <v>0</v>
      </c>
      <c r="CR19" s="107">
        <v>0</v>
      </c>
      <c r="CS19" s="107">
        <v>0</v>
      </c>
      <c r="CT19" s="107">
        <v>0</v>
      </c>
      <c r="CU19" s="107">
        <v>0</v>
      </c>
      <c r="CV19" s="108">
        <f t="shared" si="26"/>
        <v>0</v>
      </c>
    </row>
    <row r="20" spans="1:100" s="3" customFormat="1">
      <c r="A20" s="3" t="s">
        <v>12</v>
      </c>
      <c r="B20" s="103">
        <f t="shared" si="0"/>
        <v>430101</v>
      </c>
      <c r="C20" s="104">
        <f t="shared" si="1"/>
        <v>0</v>
      </c>
      <c r="D20" s="104">
        <f t="shared" si="2"/>
        <v>1417634.9999999998</v>
      </c>
      <c r="E20" s="104">
        <f t="shared" si="3"/>
        <v>331701.03999999998</v>
      </c>
      <c r="F20" s="104">
        <f t="shared" si="4"/>
        <v>422973.79387999984</v>
      </c>
      <c r="G20" s="104">
        <f t="shared" si="5"/>
        <v>649436.00775551447</v>
      </c>
      <c r="H20" s="104">
        <f t="shared" si="6"/>
        <v>5659764.8597732913</v>
      </c>
      <c r="I20" s="104">
        <f t="shared" si="7"/>
        <v>404673.52</v>
      </c>
      <c r="J20" s="104">
        <f t="shared" si="8"/>
        <v>342630</v>
      </c>
      <c r="K20" s="104">
        <f t="shared" si="9"/>
        <v>376320.01572899072</v>
      </c>
      <c r="L20" s="104">
        <f t="shared" si="10"/>
        <v>515559</v>
      </c>
      <c r="M20" s="104">
        <f t="shared" si="11"/>
        <v>376479.04</v>
      </c>
      <c r="N20" s="104">
        <f t="shared" si="12"/>
        <v>399140.79129999998</v>
      </c>
      <c r="O20" s="104">
        <f t="shared" si="13"/>
        <v>360151.73499999999</v>
      </c>
      <c r="P20" s="104">
        <f t="shared" si="14"/>
        <v>338286.01272865455</v>
      </c>
      <c r="Q20" s="104">
        <f t="shared" si="15"/>
        <v>324446.77399999998</v>
      </c>
      <c r="R20" s="104">
        <f t="shared" si="16"/>
        <v>340093.60800000001</v>
      </c>
      <c r="S20" s="104">
        <f t="shared" si="17"/>
        <v>326126.46290000004</v>
      </c>
      <c r="T20" s="104">
        <f t="shared" si="18"/>
        <v>287865.36725700001</v>
      </c>
      <c r="U20" s="104">
        <f t="shared" si="19"/>
        <v>280749.93030000001</v>
      </c>
      <c r="V20" s="104">
        <f t="shared" si="20"/>
        <v>266225.93919999996</v>
      </c>
      <c r="W20" s="104">
        <f t="shared" si="21"/>
        <v>2584371.2449642206</v>
      </c>
      <c r="X20" s="104">
        <f t="shared" si="22"/>
        <v>22982.085525583185</v>
      </c>
      <c r="Y20" s="105">
        <f t="shared" si="23"/>
        <v>16457713.228313252</v>
      </c>
      <c r="Z20" s="106"/>
      <c r="AA20" s="103">
        <v>199689.74999999997</v>
      </c>
      <c r="AB20" s="107">
        <v>0</v>
      </c>
      <c r="AC20" s="104">
        <v>652770.39285714272</v>
      </c>
      <c r="AD20" s="104">
        <v>265999.53999999998</v>
      </c>
      <c r="AE20" s="104">
        <v>303744.74358714279</v>
      </c>
      <c r="AF20" s="104">
        <v>301523.86074363167</v>
      </c>
      <c r="AG20" s="104">
        <v>2627747.9706090279</v>
      </c>
      <c r="AH20" s="104">
        <v>187884.13428571427</v>
      </c>
      <c r="AI20" s="104">
        <v>173473.92857142855</v>
      </c>
      <c r="AJ20" s="104">
        <v>184817.02202983983</v>
      </c>
      <c r="AK20" s="104">
        <v>250452</v>
      </c>
      <c r="AL20" s="104">
        <v>186209.13286493783</v>
      </c>
      <c r="AM20" s="104">
        <v>195133.32866345457</v>
      </c>
      <c r="AN20" s="104">
        <v>171657.06989576377</v>
      </c>
      <c r="AO20" s="104">
        <v>165629.07215658191</v>
      </c>
      <c r="AP20" s="104">
        <v>157154.63341204287</v>
      </c>
      <c r="AQ20" s="104">
        <v>172585.39447540152</v>
      </c>
      <c r="AR20" s="104">
        <v>158483.52984953791</v>
      </c>
      <c r="AS20" s="104">
        <v>132487.28264039435</v>
      </c>
      <c r="AT20" s="104">
        <v>132185.20045381342</v>
      </c>
      <c r="AU20" s="104">
        <v>125926.45966699522</v>
      </c>
      <c r="AV20" s="104">
        <v>1199959.6682923562</v>
      </c>
      <c r="AW20" s="104">
        <v>22982.085525583185</v>
      </c>
      <c r="AX20" s="108">
        <f t="shared" si="24"/>
        <v>7968496.2005807906</v>
      </c>
      <c r="AY20" s="106"/>
      <c r="AZ20" s="103">
        <v>230411.25</v>
      </c>
      <c r="BA20" s="107">
        <v>0</v>
      </c>
      <c r="BB20" s="104">
        <v>764864.60714285704</v>
      </c>
      <c r="BC20" s="104">
        <v>65701.5</v>
      </c>
      <c r="BD20" s="104">
        <v>119229.05029285706</v>
      </c>
      <c r="BE20" s="104">
        <v>347912.14701188274</v>
      </c>
      <c r="BF20" s="104">
        <v>3032016.8891642629</v>
      </c>
      <c r="BG20" s="104">
        <v>216789.38571428572</v>
      </c>
      <c r="BH20" s="104">
        <v>169156.07142857142</v>
      </c>
      <c r="BI20" s="104">
        <v>191502.99369915089</v>
      </c>
      <c r="BJ20" s="104">
        <v>265107</v>
      </c>
      <c r="BK20" s="104">
        <v>190269.90713506215</v>
      </c>
      <c r="BL20" s="104">
        <v>204007.46263654542</v>
      </c>
      <c r="BM20" s="104">
        <v>188494.66510423619</v>
      </c>
      <c r="BN20" s="104">
        <v>172656.94057207264</v>
      </c>
      <c r="BO20" s="107">
        <v>167292.14058795714</v>
      </c>
      <c r="BP20" s="107">
        <v>167508.21352459848</v>
      </c>
      <c r="BQ20" s="107">
        <v>167642.9330504621</v>
      </c>
      <c r="BR20" s="107">
        <v>155378.08461660566</v>
      </c>
      <c r="BS20" s="107">
        <v>148564.72984618656</v>
      </c>
      <c r="BT20" s="104">
        <v>140299.47953300475</v>
      </c>
      <c r="BU20" s="104">
        <v>1384411.5766718644</v>
      </c>
      <c r="BV20" s="107">
        <v>0</v>
      </c>
      <c r="BW20" s="108">
        <f t="shared" si="25"/>
        <v>8489217.0277324654</v>
      </c>
      <c r="BX20" s="106"/>
      <c r="BY20" s="109">
        <v>0</v>
      </c>
      <c r="BZ20" s="104">
        <v>0</v>
      </c>
      <c r="CA20" s="104">
        <v>0</v>
      </c>
      <c r="CB20" s="104">
        <v>0</v>
      </c>
      <c r="CC20" s="104">
        <v>0</v>
      </c>
      <c r="CD20" s="104">
        <v>0</v>
      </c>
      <c r="CE20" s="104">
        <v>0</v>
      </c>
      <c r="CF20" s="104">
        <v>0</v>
      </c>
      <c r="CG20" s="104">
        <v>0</v>
      </c>
      <c r="CH20" s="104">
        <v>0</v>
      </c>
      <c r="CI20" s="110">
        <v>0</v>
      </c>
      <c r="CJ20" s="110">
        <v>0</v>
      </c>
      <c r="CK20" s="110">
        <v>0</v>
      </c>
      <c r="CL20" s="110">
        <v>0</v>
      </c>
      <c r="CM20" s="110">
        <v>0</v>
      </c>
      <c r="CN20" s="107">
        <v>0</v>
      </c>
      <c r="CO20" s="107">
        <v>0</v>
      </c>
      <c r="CP20" s="107">
        <v>0</v>
      </c>
      <c r="CQ20" s="107">
        <v>0</v>
      </c>
      <c r="CR20" s="107">
        <v>0</v>
      </c>
      <c r="CS20" s="107">
        <v>0</v>
      </c>
      <c r="CT20" s="107">
        <v>0</v>
      </c>
      <c r="CU20" s="107">
        <v>0</v>
      </c>
      <c r="CV20" s="108">
        <f t="shared" si="26"/>
        <v>0</v>
      </c>
    </row>
    <row r="21" spans="1:100" s="3" customFormat="1">
      <c r="A21" s="3" t="s">
        <v>13</v>
      </c>
      <c r="B21" s="103">
        <f t="shared" si="0"/>
        <v>5424717.0000000009</v>
      </c>
      <c r="C21" s="104">
        <f t="shared" si="1"/>
        <v>0</v>
      </c>
      <c r="D21" s="104">
        <f t="shared" si="2"/>
        <v>15198791.000000004</v>
      </c>
      <c r="E21" s="104">
        <f t="shared" si="3"/>
        <v>6234595.4199999999</v>
      </c>
      <c r="F21" s="104">
        <f t="shared" si="4"/>
        <v>5610886.9642549967</v>
      </c>
      <c r="G21" s="104">
        <f t="shared" si="5"/>
        <v>9240876.2426227666</v>
      </c>
      <c r="H21" s="104">
        <f t="shared" si="6"/>
        <v>69299027.059733778</v>
      </c>
      <c r="I21" s="104">
        <f t="shared" si="7"/>
        <v>4726096.1300000008</v>
      </c>
      <c r="J21" s="104">
        <f t="shared" si="8"/>
        <v>3958122.0000000005</v>
      </c>
      <c r="K21" s="104">
        <f t="shared" si="9"/>
        <v>4408524.4661761653</v>
      </c>
      <c r="L21" s="104">
        <f t="shared" si="10"/>
        <v>4603577</v>
      </c>
      <c r="M21" s="104">
        <f t="shared" si="11"/>
        <v>4297712.3</v>
      </c>
      <c r="N21" s="104">
        <f t="shared" si="12"/>
        <v>4539972.6596999997</v>
      </c>
      <c r="O21" s="104">
        <f t="shared" si="13"/>
        <v>4112241.29</v>
      </c>
      <c r="P21" s="104">
        <f t="shared" si="14"/>
        <v>3807480.680057162</v>
      </c>
      <c r="Q21" s="104">
        <f t="shared" si="15"/>
        <v>3660805.8959999993</v>
      </c>
      <c r="R21" s="104">
        <f t="shared" si="16"/>
        <v>3481204.7919999994</v>
      </c>
      <c r="S21" s="104">
        <f t="shared" si="17"/>
        <v>3561186.9200999998</v>
      </c>
      <c r="T21" s="104">
        <f t="shared" si="18"/>
        <v>3324806.3574329996</v>
      </c>
      <c r="U21" s="104">
        <f t="shared" si="19"/>
        <v>3179047.0006999997</v>
      </c>
      <c r="V21" s="104">
        <f t="shared" si="20"/>
        <v>29748433.929424517</v>
      </c>
      <c r="W21" s="104">
        <f t="shared" si="21"/>
        <v>59555</v>
      </c>
      <c r="X21" s="104">
        <f t="shared" si="22"/>
        <v>299430.7817711893</v>
      </c>
      <c r="Y21" s="105">
        <f t="shared" si="23"/>
        <v>192777090.88997355</v>
      </c>
      <c r="Z21" s="106"/>
      <c r="AA21" s="103">
        <v>2123462.9144215537</v>
      </c>
      <c r="AB21" s="107">
        <v>0</v>
      </c>
      <c r="AC21" s="104">
        <v>5800999.5134706832</v>
      </c>
      <c r="AD21" s="104">
        <v>3976016.4263391444</v>
      </c>
      <c r="AE21" s="104">
        <v>3309682.3801124948</v>
      </c>
      <c r="AF21" s="104">
        <v>3094685.4071756313</v>
      </c>
      <c r="AG21" s="104">
        <v>25215225.582811795</v>
      </c>
      <c r="AH21" s="104">
        <v>1849993.2553248818</v>
      </c>
      <c r="AI21" s="104">
        <v>1800227.223454834</v>
      </c>
      <c r="AJ21" s="104">
        <v>1955849.9796735125</v>
      </c>
      <c r="AK21" s="104">
        <v>1997364</v>
      </c>
      <c r="AL21" s="104">
        <v>1871188.8527177505</v>
      </c>
      <c r="AM21" s="104">
        <v>1938253.4199269249</v>
      </c>
      <c r="AN21" s="104">
        <v>1708002.4998783555</v>
      </c>
      <c r="AO21" s="104">
        <v>1611947.5446813707</v>
      </c>
      <c r="AP21" s="104">
        <v>1526444.8652190631</v>
      </c>
      <c r="AQ21" s="104">
        <v>1343902.6577853637</v>
      </c>
      <c r="AR21" s="104">
        <v>1422780.9857004911</v>
      </c>
      <c r="AS21" s="104">
        <v>1343253.0543591182</v>
      </c>
      <c r="AT21" s="104">
        <v>1284376.068142134</v>
      </c>
      <c r="AU21" s="104">
        <v>11473645.000381507</v>
      </c>
      <c r="AV21" s="104">
        <v>59555</v>
      </c>
      <c r="AW21" s="104">
        <v>299430.7817711893</v>
      </c>
      <c r="AX21" s="108">
        <f t="shared" si="24"/>
        <v>77006287.413347781</v>
      </c>
      <c r="AY21" s="106"/>
      <c r="AZ21" s="103">
        <v>3301254.0855784472</v>
      </c>
      <c r="BA21" s="107">
        <v>0</v>
      </c>
      <c r="BB21" s="104">
        <v>9397791.4865293205</v>
      </c>
      <c r="BC21" s="104">
        <v>2148225.993660856</v>
      </c>
      <c r="BD21" s="104">
        <v>2083914.5841425017</v>
      </c>
      <c r="BE21" s="104">
        <v>4811170.8354471345</v>
      </c>
      <c r="BF21" s="104">
        <v>39200998.476921976</v>
      </c>
      <c r="BG21" s="104">
        <v>2876102.8746751193</v>
      </c>
      <c r="BH21" s="104">
        <v>2157894.7765451665</v>
      </c>
      <c r="BI21" s="104">
        <v>2452674.4865026525</v>
      </c>
      <c r="BJ21" s="104">
        <v>2606213</v>
      </c>
      <c r="BK21" s="104">
        <v>2426523.4472822491</v>
      </c>
      <c r="BL21" s="104">
        <v>2601719.2397730746</v>
      </c>
      <c r="BM21" s="104">
        <v>2404238.7901216443</v>
      </c>
      <c r="BN21" s="104">
        <v>2195533.1353757912</v>
      </c>
      <c r="BO21" s="107">
        <v>2134361.0307809361</v>
      </c>
      <c r="BP21" s="107">
        <v>2137302.1342146355</v>
      </c>
      <c r="BQ21" s="107">
        <v>2138405.9343995084</v>
      </c>
      <c r="BR21" s="107">
        <v>1981553.3030738812</v>
      </c>
      <c r="BS21" s="107">
        <v>1894670.9325578655</v>
      </c>
      <c r="BT21" s="104">
        <v>18274788.92904301</v>
      </c>
      <c r="BU21" s="104">
        <v>0</v>
      </c>
      <c r="BV21" s="107">
        <v>0</v>
      </c>
      <c r="BW21" s="108">
        <f t="shared" si="25"/>
        <v>109225337.4766258</v>
      </c>
      <c r="BX21" s="106"/>
      <c r="BY21" s="109">
        <v>0</v>
      </c>
      <c r="BZ21" s="104">
        <v>0</v>
      </c>
      <c r="CA21" s="104">
        <v>0</v>
      </c>
      <c r="CB21" s="104">
        <v>110353</v>
      </c>
      <c r="CC21" s="104">
        <v>217290</v>
      </c>
      <c r="CD21" s="104">
        <v>1335020</v>
      </c>
      <c r="CE21" s="104">
        <v>4882803</v>
      </c>
      <c r="CF21" s="104">
        <v>0</v>
      </c>
      <c r="CG21" s="104">
        <v>0</v>
      </c>
      <c r="CH21" s="104">
        <v>0</v>
      </c>
      <c r="CI21" s="110">
        <v>0</v>
      </c>
      <c r="CJ21" s="110">
        <v>0</v>
      </c>
      <c r="CK21" s="110">
        <v>0</v>
      </c>
      <c r="CL21" s="110">
        <v>0</v>
      </c>
      <c r="CM21" s="110">
        <v>0</v>
      </c>
      <c r="CN21" s="107">
        <v>0</v>
      </c>
      <c r="CO21" s="107">
        <v>0</v>
      </c>
      <c r="CP21" s="107">
        <v>0</v>
      </c>
      <c r="CQ21" s="107">
        <v>0</v>
      </c>
      <c r="CR21" s="107">
        <v>0</v>
      </c>
      <c r="CS21" s="107">
        <v>0</v>
      </c>
      <c r="CT21" s="107">
        <v>0</v>
      </c>
      <c r="CU21" s="107">
        <v>0</v>
      </c>
      <c r="CV21" s="108">
        <f t="shared" si="26"/>
        <v>6545466</v>
      </c>
    </row>
    <row r="22" spans="1:100" s="3" customFormat="1">
      <c r="A22" s="3" t="s">
        <v>14</v>
      </c>
      <c r="B22" s="103">
        <f t="shared" si="0"/>
        <v>1122231</v>
      </c>
      <c r="C22" s="104">
        <f t="shared" si="1"/>
        <v>0</v>
      </c>
      <c r="D22" s="104">
        <f t="shared" si="2"/>
        <v>3777404.9999999995</v>
      </c>
      <c r="E22" s="104">
        <f t="shared" si="3"/>
        <v>926483.22</v>
      </c>
      <c r="F22" s="104">
        <f t="shared" si="4"/>
        <v>988937.42764499993</v>
      </c>
      <c r="G22" s="104">
        <f t="shared" si="5"/>
        <v>1850892.7761477861</v>
      </c>
      <c r="H22" s="104">
        <f t="shared" si="6"/>
        <v>15154248.771025086</v>
      </c>
      <c r="I22" s="104">
        <f t="shared" si="7"/>
        <v>1037048.28</v>
      </c>
      <c r="J22" s="104">
        <f t="shared" si="8"/>
        <v>925907</v>
      </c>
      <c r="K22" s="104">
        <f t="shared" si="9"/>
        <v>1003744.6532308407</v>
      </c>
      <c r="L22" s="104">
        <f t="shared" si="10"/>
        <v>972865</v>
      </c>
      <c r="M22" s="104">
        <f t="shared" si="11"/>
        <v>986065.77</v>
      </c>
      <c r="N22" s="104">
        <f t="shared" si="12"/>
        <v>1039749.3941000002</v>
      </c>
      <c r="O22" s="104">
        <f t="shared" si="13"/>
        <v>969494.19</v>
      </c>
      <c r="P22" s="104">
        <f t="shared" si="14"/>
        <v>871478.41803263582</v>
      </c>
      <c r="Q22" s="104">
        <f t="shared" si="15"/>
        <v>855306.07799999998</v>
      </c>
      <c r="R22" s="104">
        <f t="shared" si="16"/>
        <v>960430.04600000009</v>
      </c>
      <c r="S22" s="104">
        <f t="shared" si="17"/>
        <v>847429.31530000002</v>
      </c>
      <c r="T22" s="104">
        <f t="shared" si="18"/>
        <v>787637.33054899983</v>
      </c>
      <c r="U22" s="104">
        <f t="shared" si="19"/>
        <v>738000.78710000007</v>
      </c>
      <c r="V22" s="104">
        <f t="shared" si="20"/>
        <v>6988356.6080449987</v>
      </c>
      <c r="W22" s="104">
        <f t="shared" si="21"/>
        <v>10582</v>
      </c>
      <c r="X22" s="104">
        <f t="shared" si="22"/>
        <v>53204.20674507138</v>
      </c>
      <c r="Y22" s="105">
        <f t="shared" si="23"/>
        <v>42867497.271920428</v>
      </c>
      <c r="Z22" s="106"/>
      <c r="AA22" s="103">
        <v>369055.83221476508</v>
      </c>
      <c r="AB22" s="107">
        <v>0</v>
      </c>
      <c r="AC22" s="104">
        <v>1234508.4429530199</v>
      </c>
      <c r="AD22" s="104">
        <v>541771.38778523484</v>
      </c>
      <c r="AE22" s="104">
        <v>535402.80506446306</v>
      </c>
      <c r="AF22" s="104">
        <v>608524.34920296317</v>
      </c>
      <c r="AG22" s="104">
        <v>4979393.0790619403</v>
      </c>
      <c r="AH22" s="104">
        <v>341042.72295302013</v>
      </c>
      <c r="AI22" s="104">
        <v>344244.63758389262</v>
      </c>
      <c r="AJ22" s="104">
        <v>365584.73721766251</v>
      </c>
      <c r="AK22" s="104">
        <v>352156</v>
      </c>
      <c r="AL22" s="104">
        <v>361945.31237717555</v>
      </c>
      <c r="AM22" s="104">
        <v>370585.10057299252</v>
      </c>
      <c r="AN22" s="104">
        <v>350953.71527313342</v>
      </c>
      <c r="AO22" s="104">
        <v>306486.02933278494</v>
      </c>
      <c r="AP22" s="104">
        <v>306557.53531726281</v>
      </c>
      <c r="AQ22" s="104">
        <v>410768.03430799994</v>
      </c>
      <c r="AR22" s="104">
        <v>297554.33181226021</v>
      </c>
      <c r="AS22" s="104">
        <v>277979.05892472167</v>
      </c>
      <c r="AT22" s="104">
        <v>250692.61281337671</v>
      </c>
      <c r="AU22" s="104">
        <v>2287950.4541150094</v>
      </c>
      <c r="AV22" s="104">
        <v>10582</v>
      </c>
      <c r="AW22" s="104">
        <v>53204.20674507138</v>
      </c>
      <c r="AX22" s="108">
        <f t="shared" si="24"/>
        <v>14956942.385628747</v>
      </c>
      <c r="AY22" s="106"/>
      <c r="AZ22" s="103">
        <v>753175.16778523498</v>
      </c>
      <c r="BA22" s="107">
        <v>0</v>
      </c>
      <c r="BB22" s="104">
        <v>2542896.5570469797</v>
      </c>
      <c r="BC22" s="104">
        <v>384711.83221476513</v>
      </c>
      <c r="BD22" s="104">
        <v>453534.62258053693</v>
      </c>
      <c r="BE22" s="104">
        <v>1241886.426944823</v>
      </c>
      <c r="BF22" s="104">
        <v>10162026.691963146</v>
      </c>
      <c r="BG22" s="104">
        <v>696005.5570469799</v>
      </c>
      <c r="BH22" s="104">
        <v>581662.36241610744</v>
      </c>
      <c r="BI22" s="104">
        <v>638159.91601317818</v>
      </c>
      <c r="BJ22" s="104">
        <v>620709</v>
      </c>
      <c r="BK22" s="104">
        <v>624120.45762282447</v>
      </c>
      <c r="BL22" s="104">
        <v>669164.29352700769</v>
      </c>
      <c r="BM22" s="104">
        <v>618540.47472686658</v>
      </c>
      <c r="BN22" s="104">
        <v>564992.38869985088</v>
      </c>
      <c r="BO22" s="107">
        <v>548748.54268273723</v>
      </c>
      <c r="BP22" s="107">
        <v>549662.01169200009</v>
      </c>
      <c r="BQ22" s="107">
        <v>549874.98348773981</v>
      </c>
      <c r="BR22" s="107">
        <v>509658.27162427816</v>
      </c>
      <c r="BS22" s="107">
        <v>487308.17428662337</v>
      </c>
      <c r="BT22" s="104">
        <v>4700406.1539299898</v>
      </c>
      <c r="BU22" s="104">
        <v>0</v>
      </c>
      <c r="BV22" s="107">
        <v>0</v>
      </c>
      <c r="BW22" s="108">
        <f t="shared" si="25"/>
        <v>27897243.886291668</v>
      </c>
      <c r="BX22" s="106"/>
      <c r="BY22" s="109">
        <v>0</v>
      </c>
      <c r="BZ22" s="104">
        <v>0</v>
      </c>
      <c r="CA22" s="104">
        <v>0</v>
      </c>
      <c r="CB22" s="104">
        <v>0</v>
      </c>
      <c r="CC22" s="104">
        <v>0</v>
      </c>
      <c r="CD22" s="104">
        <v>482</v>
      </c>
      <c r="CE22" s="104">
        <v>12829</v>
      </c>
      <c r="CF22" s="104">
        <v>0</v>
      </c>
      <c r="CG22" s="104">
        <v>0</v>
      </c>
      <c r="CH22" s="104">
        <v>0</v>
      </c>
      <c r="CI22" s="110">
        <v>0</v>
      </c>
      <c r="CJ22" s="110">
        <v>0</v>
      </c>
      <c r="CK22" s="110">
        <v>0</v>
      </c>
      <c r="CL22" s="110">
        <v>0</v>
      </c>
      <c r="CM22" s="110">
        <v>0</v>
      </c>
      <c r="CN22" s="107">
        <v>0</v>
      </c>
      <c r="CO22" s="107">
        <v>0</v>
      </c>
      <c r="CP22" s="107">
        <v>0</v>
      </c>
      <c r="CQ22" s="107">
        <v>0</v>
      </c>
      <c r="CR22" s="107">
        <v>0</v>
      </c>
      <c r="CS22" s="107">
        <v>0</v>
      </c>
      <c r="CT22" s="107">
        <v>0</v>
      </c>
      <c r="CU22" s="107">
        <v>0</v>
      </c>
      <c r="CV22" s="108">
        <f t="shared" si="26"/>
        <v>13311</v>
      </c>
    </row>
    <row r="23" spans="1:100" s="3" customFormat="1">
      <c r="A23" s="3" t="s">
        <v>15</v>
      </c>
      <c r="B23" s="103">
        <f t="shared" si="0"/>
        <v>1054519</v>
      </c>
      <c r="C23" s="104">
        <f t="shared" si="1"/>
        <v>0</v>
      </c>
      <c r="D23" s="104">
        <f t="shared" si="2"/>
        <v>2744761</v>
      </c>
      <c r="E23" s="104">
        <f t="shared" si="3"/>
        <v>2002704.04</v>
      </c>
      <c r="F23" s="104">
        <f t="shared" si="4"/>
        <v>1675577.57397</v>
      </c>
      <c r="G23" s="104">
        <f t="shared" si="5"/>
        <v>734584.53648600588</v>
      </c>
      <c r="H23" s="104">
        <f t="shared" si="6"/>
        <v>11711074.398204274</v>
      </c>
      <c r="I23" s="104">
        <f t="shared" si="7"/>
        <v>872987.53999999992</v>
      </c>
      <c r="J23" s="104">
        <f t="shared" si="8"/>
        <v>686154</v>
      </c>
      <c r="K23" s="104">
        <f t="shared" si="9"/>
        <v>839686.07626557932</v>
      </c>
      <c r="L23" s="104">
        <f t="shared" si="10"/>
        <v>830355</v>
      </c>
      <c r="M23" s="104">
        <f t="shared" si="11"/>
        <v>796390.26</v>
      </c>
      <c r="N23" s="104">
        <f t="shared" si="12"/>
        <v>849726.20259999996</v>
      </c>
      <c r="O23" s="104">
        <f t="shared" si="13"/>
        <v>798326.28</v>
      </c>
      <c r="P23" s="104">
        <f t="shared" si="14"/>
        <v>689237.78305169265</v>
      </c>
      <c r="Q23" s="104">
        <f t="shared" si="15"/>
        <v>685744.60800000012</v>
      </c>
      <c r="R23" s="104">
        <f t="shared" si="16"/>
        <v>658334.826</v>
      </c>
      <c r="S23" s="104">
        <f t="shared" si="17"/>
        <v>671537.92580000008</v>
      </c>
      <c r="T23" s="104">
        <f t="shared" si="18"/>
        <v>627837.73451400001</v>
      </c>
      <c r="U23" s="104">
        <f t="shared" si="19"/>
        <v>600398.87060000002</v>
      </c>
      <c r="V23" s="104">
        <f t="shared" si="20"/>
        <v>5386261.6612317394</v>
      </c>
      <c r="W23" s="104">
        <f t="shared" si="21"/>
        <v>43570</v>
      </c>
      <c r="X23" s="104">
        <f t="shared" si="22"/>
        <v>219061.35776627855</v>
      </c>
      <c r="Y23" s="105">
        <f t="shared" si="23"/>
        <v>35178830.674489573</v>
      </c>
      <c r="Z23" s="106"/>
      <c r="AA23" s="103">
        <v>342256.16666666669</v>
      </c>
      <c r="AB23" s="107">
        <v>0</v>
      </c>
      <c r="AC23" s="104">
        <v>871891.68421052629</v>
      </c>
      <c r="AD23" s="104">
        <v>1092032.8470175439</v>
      </c>
      <c r="AE23" s="104">
        <v>1054032.7863762281</v>
      </c>
      <c r="AF23" s="104">
        <v>238010.78815773875</v>
      </c>
      <c r="AG23" s="104">
        <v>3788120.4976627911</v>
      </c>
      <c r="AH23" s="104">
        <v>283338.06122807018</v>
      </c>
      <c r="AI23" s="104">
        <v>291982.71929824562</v>
      </c>
      <c r="AJ23" s="104">
        <v>346404.1578734229</v>
      </c>
      <c r="AK23" s="104">
        <v>323969</v>
      </c>
      <c r="AL23" s="104">
        <v>311793.16981369909</v>
      </c>
      <c r="AM23" s="104">
        <v>330179.60681276198</v>
      </c>
      <c r="AN23" s="104">
        <v>318154.49870093557</v>
      </c>
      <c r="AO23" s="104">
        <v>252318.61544480463</v>
      </c>
      <c r="AP23" s="104">
        <v>259164.3668452125</v>
      </c>
      <c r="AQ23" s="104">
        <v>232425.42445261913</v>
      </c>
      <c r="AR23" s="104">
        <v>244589.78771519865</v>
      </c>
      <c r="AS23" s="104">
        <v>232132.18855273232</v>
      </c>
      <c r="AT23" s="104">
        <v>222071.33829672605</v>
      </c>
      <c r="AU23" s="104">
        <v>1736802.7784143987</v>
      </c>
      <c r="AV23" s="104">
        <v>43570</v>
      </c>
      <c r="AW23" s="104">
        <v>219061.35776627855</v>
      </c>
      <c r="AX23" s="108">
        <f t="shared" si="24"/>
        <v>13034301.841306601</v>
      </c>
      <c r="AY23" s="106"/>
      <c r="AZ23" s="103">
        <v>712262.83333333337</v>
      </c>
      <c r="BA23" s="107">
        <v>0</v>
      </c>
      <c r="BB23" s="104">
        <v>1872869.3157894737</v>
      </c>
      <c r="BC23" s="104">
        <v>910671.19298245618</v>
      </c>
      <c r="BD23" s="104">
        <v>621544.78759377194</v>
      </c>
      <c r="BE23" s="104">
        <v>495319.74832826713</v>
      </c>
      <c r="BF23" s="104">
        <v>7883385.9005414834</v>
      </c>
      <c r="BG23" s="104">
        <v>589649.47877192975</v>
      </c>
      <c r="BH23" s="104">
        <v>394171.28070175438</v>
      </c>
      <c r="BI23" s="104">
        <v>493281.91839215648</v>
      </c>
      <c r="BJ23" s="104">
        <v>506386</v>
      </c>
      <c r="BK23" s="104">
        <v>484597.09018630092</v>
      </c>
      <c r="BL23" s="104">
        <v>519546.59578723804</v>
      </c>
      <c r="BM23" s="104">
        <v>480171.78129906446</v>
      </c>
      <c r="BN23" s="104">
        <v>436919.16760688805</v>
      </c>
      <c r="BO23" s="107">
        <v>426580.2411547876</v>
      </c>
      <c r="BP23" s="107">
        <v>425909.4015473809</v>
      </c>
      <c r="BQ23" s="107">
        <v>426948.13808480144</v>
      </c>
      <c r="BR23" s="107">
        <v>395705.54596126766</v>
      </c>
      <c r="BS23" s="107">
        <v>378327.53230327397</v>
      </c>
      <c r="BT23" s="104">
        <v>3649458.8828173405</v>
      </c>
      <c r="BU23" s="104">
        <v>0</v>
      </c>
      <c r="BV23" s="107">
        <v>0</v>
      </c>
      <c r="BW23" s="108">
        <f t="shared" si="25"/>
        <v>22103706.833182972</v>
      </c>
      <c r="BX23" s="106"/>
      <c r="BY23" s="109">
        <v>0</v>
      </c>
      <c r="BZ23" s="104">
        <v>0</v>
      </c>
      <c r="CA23" s="104">
        <v>0</v>
      </c>
      <c r="CB23" s="104">
        <v>0</v>
      </c>
      <c r="CC23" s="104">
        <v>0</v>
      </c>
      <c r="CD23" s="104">
        <v>1254</v>
      </c>
      <c r="CE23" s="104">
        <v>39568</v>
      </c>
      <c r="CF23" s="104">
        <v>0</v>
      </c>
      <c r="CG23" s="104">
        <v>0</v>
      </c>
      <c r="CH23" s="104">
        <v>0</v>
      </c>
      <c r="CI23" s="110">
        <v>0</v>
      </c>
      <c r="CJ23" s="110">
        <v>0</v>
      </c>
      <c r="CK23" s="110">
        <v>0</v>
      </c>
      <c r="CL23" s="110">
        <v>0</v>
      </c>
      <c r="CM23" s="110">
        <v>0</v>
      </c>
      <c r="CN23" s="107">
        <v>0</v>
      </c>
      <c r="CO23" s="107">
        <v>0</v>
      </c>
      <c r="CP23" s="107">
        <v>0</v>
      </c>
      <c r="CQ23" s="107">
        <v>0</v>
      </c>
      <c r="CR23" s="107">
        <v>0</v>
      </c>
      <c r="CS23" s="107">
        <v>0</v>
      </c>
      <c r="CT23" s="107">
        <v>0</v>
      </c>
      <c r="CU23" s="107">
        <v>0</v>
      </c>
      <c r="CV23" s="108">
        <f t="shared" si="26"/>
        <v>40822</v>
      </c>
    </row>
    <row r="24" spans="1:100" s="3" customFormat="1">
      <c r="A24" s="3" t="s">
        <v>16</v>
      </c>
      <c r="B24" s="103">
        <f t="shared" si="0"/>
        <v>1027577</v>
      </c>
      <c r="C24" s="104">
        <f t="shared" si="1"/>
        <v>0</v>
      </c>
      <c r="D24" s="104">
        <f t="shared" si="2"/>
        <v>3175623</v>
      </c>
      <c r="E24" s="104">
        <f t="shared" si="3"/>
        <v>1102591.99</v>
      </c>
      <c r="F24" s="104">
        <f t="shared" si="4"/>
        <v>1210207.9207050004</v>
      </c>
      <c r="G24" s="104">
        <f t="shared" si="5"/>
        <v>1247740.7234006375</v>
      </c>
      <c r="H24" s="104">
        <f t="shared" si="6"/>
        <v>12360675.844807969</v>
      </c>
      <c r="I24" s="104">
        <f t="shared" si="7"/>
        <v>942567.33000000007</v>
      </c>
      <c r="J24" s="104">
        <f t="shared" si="8"/>
        <v>714586</v>
      </c>
      <c r="K24" s="104">
        <f t="shared" si="9"/>
        <v>839144.54621596937</v>
      </c>
      <c r="L24" s="104">
        <f t="shared" si="10"/>
        <v>934014</v>
      </c>
      <c r="M24" s="104">
        <f t="shared" si="11"/>
        <v>811745.22</v>
      </c>
      <c r="N24" s="104">
        <f t="shared" si="12"/>
        <v>859978.8498000002</v>
      </c>
      <c r="O24" s="104">
        <f t="shared" si="13"/>
        <v>796139.25</v>
      </c>
      <c r="P24" s="104">
        <f t="shared" si="14"/>
        <v>735058.60530072683</v>
      </c>
      <c r="Q24" s="104">
        <f t="shared" si="15"/>
        <v>694260.57400000014</v>
      </c>
      <c r="R24" s="104">
        <f t="shared" si="16"/>
        <v>707725.478</v>
      </c>
      <c r="S24" s="104">
        <f t="shared" si="17"/>
        <v>706914.04340000008</v>
      </c>
      <c r="T24" s="104">
        <f t="shared" si="18"/>
        <v>656078.47132200003</v>
      </c>
      <c r="U24" s="104">
        <f t="shared" si="19"/>
        <v>629957.50380000006</v>
      </c>
      <c r="V24" s="104">
        <f t="shared" si="20"/>
        <v>5741327.3506084587</v>
      </c>
      <c r="W24" s="104">
        <f t="shared" si="21"/>
        <v>14024</v>
      </c>
      <c r="X24" s="104">
        <f t="shared" si="22"/>
        <v>70509.903174530424</v>
      </c>
      <c r="Y24" s="105">
        <f t="shared" si="23"/>
        <v>35978447.604535289</v>
      </c>
      <c r="Z24" s="106"/>
      <c r="AA24" s="103">
        <v>704866.86776859511</v>
      </c>
      <c r="AB24" s="107">
        <v>0</v>
      </c>
      <c r="AC24" s="104">
        <v>2143583.4214876033</v>
      </c>
      <c r="AD24" s="104">
        <v>834803.00652892562</v>
      </c>
      <c r="AE24" s="104">
        <v>973862.51750838873</v>
      </c>
      <c r="AF24" s="104">
        <v>855888.26481200766</v>
      </c>
      <c r="AG24" s="104">
        <v>8478810.7034633178</v>
      </c>
      <c r="AH24" s="104">
        <v>646554.44950413227</v>
      </c>
      <c r="AI24" s="104">
        <v>510455.33884297521</v>
      </c>
      <c r="AJ24" s="104">
        <v>595883.94536636572</v>
      </c>
      <c r="AK24" s="104">
        <v>651349</v>
      </c>
      <c r="AL24" s="104">
        <v>566146.62816472875</v>
      </c>
      <c r="AM24" s="104">
        <v>596653.35941281845</v>
      </c>
      <c r="AN24" s="104">
        <v>552990.80043361941</v>
      </c>
      <c r="AO24" s="104">
        <v>514078.05845306546</v>
      </c>
      <c r="AP24" s="104">
        <v>478154.45529545343</v>
      </c>
      <c r="AQ24" s="104">
        <v>491329.46362638532</v>
      </c>
      <c r="AR24" s="104">
        <v>490487.0702618123</v>
      </c>
      <c r="AS24" s="104">
        <v>455526.62029653328</v>
      </c>
      <c r="AT24" s="104">
        <v>438198.26356143004</v>
      </c>
      <c r="AU24" s="104">
        <v>3891745.7889730642</v>
      </c>
      <c r="AV24" s="104">
        <v>14024</v>
      </c>
      <c r="AW24" s="104">
        <v>70509.903174530424</v>
      </c>
      <c r="AX24" s="108">
        <f t="shared" si="24"/>
        <v>24955901.926935755</v>
      </c>
      <c r="AY24" s="106"/>
      <c r="AZ24" s="103">
        <v>322710.13223140495</v>
      </c>
      <c r="BA24" s="107">
        <v>0</v>
      </c>
      <c r="BB24" s="104">
        <v>1032039.5785123968</v>
      </c>
      <c r="BC24" s="104">
        <v>267788.98347107437</v>
      </c>
      <c r="BD24" s="104">
        <v>236345.40319661165</v>
      </c>
      <c r="BE24" s="104">
        <v>391852.45858862996</v>
      </c>
      <c r="BF24" s="104">
        <v>3881865.1413446511</v>
      </c>
      <c r="BG24" s="104">
        <v>296012.88049586781</v>
      </c>
      <c r="BH24" s="104">
        <v>204130.66115702479</v>
      </c>
      <c r="BI24" s="104">
        <v>243260.60084960359</v>
      </c>
      <c r="BJ24" s="104">
        <v>282665</v>
      </c>
      <c r="BK24" s="104">
        <v>245598.59183527122</v>
      </c>
      <c r="BL24" s="104">
        <v>263325.49038718169</v>
      </c>
      <c r="BM24" s="104">
        <v>243148.44956638056</v>
      </c>
      <c r="BN24" s="104">
        <v>220980.54684766132</v>
      </c>
      <c r="BO24" s="107">
        <v>216106.11870454674</v>
      </c>
      <c r="BP24" s="107">
        <v>216396.01437361466</v>
      </c>
      <c r="BQ24" s="107">
        <v>216426.97313818781</v>
      </c>
      <c r="BR24" s="107">
        <v>200551.85102546678</v>
      </c>
      <c r="BS24" s="107">
        <v>191759.24023857006</v>
      </c>
      <c r="BT24" s="104">
        <v>1849581.5616353948</v>
      </c>
      <c r="BU24" s="104">
        <v>0</v>
      </c>
      <c r="BV24" s="107">
        <v>0</v>
      </c>
      <c r="BW24" s="108">
        <f t="shared" si="25"/>
        <v>11022545.67759954</v>
      </c>
      <c r="BX24" s="106"/>
      <c r="BY24" s="109">
        <v>0</v>
      </c>
      <c r="BZ24" s="104">
        <v>0</v>
      </c>
      <c r="CA24" s="104">
        <v>0</v>
      </c>
      <c r="CB24" s="104">
        <v>0</v>
      </c>
      <c r="CC24" s="104">
        <v>0</v>
      </c>
      <c r="CD24" s="104">
        <v>0</v>
      </c>
      <c r="CE24" s="104">
        <v>0</v>
      </c>
      <c r="CF24" s="104">
        <v>0</v>
      </c>
      <c r="CG24" s="104">
        <v>0</v>
      </c>
      <c r="CH24" s="104">
        <v>0</v>
      </c>
      <c r="CI24" s="110">
        <v>0</v>
      </c>
      <c r="CJ24" s="110">
        <v>0</v>
      </c>
      <c r="CK24" s="110">
        <v>0</v>
      </c>
      <c r="CL24" s="110">
        <v>0</v>
      </c>
      <c r="CM24" s="110">
        <v>0</v>
      </c>
      <c r="CN24" s="107">
        <v>0</v>
      </c>
      <c r="CO24" s="107">
        <v>0</v>
      </c>
      <c r="CP24" s="107">
        <v>0</v>
      </c>
      <c r="CQ24" s="107">
        <v>0</v>
      </c>
      <c r="CR24" s="107">
        <v>0</v>
      </c>
      <c r="CS24" s="107">
        <v>0</v>
      </c>
      <c r="CT24" s="107">
        <v>0</v>
      </c>
      <c r="CU24" s="107">
        <v>0</v>
      </c>
      <c r="CV24" s="108">
        <f t="shared" si="26"/>
        <v>0</v>
      </c>
    </row>
    <row r="25" spans="1:100" s="3" customFormat="1">
      <c r="A25" s="3" t="s">
        <v>17</v>
      </c>
      <c r="B25" s="103">
        <f t="shared" si="0"/>
        <v>954803.00000000012</v>
      </c>
      <c r="C25" s="104">
        <f t="shared" si="1"/>
        <v>0</v>
      </c>
      <c r="D25" s="104">
        <f t="shared" si="2"/>
        <v>3174331.0000000005</v>
      </c>
      <c r="E25" s="104">
        <f t="shared" si="3"/>
        <v>1005185.4300000002</v>
      </c>
      <c r="F25" s="104">
        <f t="shared" si="4"/>
        <v>870726.83933500014</v>
      </c>
      <c r="G25" s="104">
        <f t="shared" si="5"/>
        <v>1583305.1542944037</v>
      </c>
      <c r="H25" s="104">
        <f t="shared" si="6"/>
        <v>12986194.205585945</v>
      </c>
      <c r="I25" s="104">
        <f t="shared" si="7"/>
        <v>883013.24000000022</v>
      </c>
      <c r="J25" s="104">
        <f t="shared" si="8"/>
        <v>793983</v>
      </c>
      <c r="K25" s="104">
        <f t="shared" si="9"/>
        <v>874048.58359224128</v>
      </c>
      <c r="L25" s="104">
        <f t="shared" si="10"/>
        <v>775362</v>
      </c>
      <c r="M25" s="104">
        <f t="shared" si="11"/>
        <v>848823.42999999993</v>
      </c>
      <c r="N25" s="104">
        <f t="shared" si="12"/>
        <v>872120.67429999972</v>
      </c>
      <c r="O25" s="104">
        <f t="shared" si="13"/>
        <v>815643.72</v>
      </c>
      <c r="P25" s="104">
        <f t="shared" si="14"/>
        <v>751056.76260153577</v>
      </c>
      <c r="Q25" s="104">
        <f t="shared" si="15"/>
        <v>715838.96399999992</v>
      </c>
      <c r="R25" s="104">
        <f t="shared" si="16"/>
        <v>729138.83799999976</v>
      </c>
      <c r="S25" s="104">
        <f t="shared" si="17"/>
        <v>698906.24189999991</v>
      </c>
      <c r="T25" s="104">
        <f t="shared" si="18"/>
        <v>656019.55932699982</v>
      </c>
      <c r="U25" s="104">
        <f t="shared" si="19"/>
        <v>624061.78330000001</v>
      </c>
      <c r="V25" s="104">
        <f t="shared" si="20"/>
        <v>5958235.1796102952</v>
      </c>
      <c r="W25" s="104">
        <f t="shared" si="21"/>
        <v>3198</v>
      </c>
      <c r="X25" s="104">
        <f t="shared" si="22"/>
        <v>16078.912603547366</v>
      </c>
      <c r="Y25" s="105">
        <f t="shared" si="23"/>
        <v>36590074.518449977</v>
      </c>
      <c r="Z25" s="106"/>
      <c r="AA25" s="103">
        <v>330797.88976377959</v>
      </c>
      <c r="AB25" s="107">
        <v>0</v>
      </c>
      <c r="AC25" s="104">
        <v>1092883.472440945</v>
      </c>
      <c r="AD25" s="104">
        <v>629348.57960629929</v>
      </c>
      <c r="AE25" s="104">
        <v>446107.98284047248</v>
      </c>
      <c r="AF25" s="104">
        <v>548546.6676295572</v>
      </c>
      <c r="AG25" s="104">
        <v>4499153.8979982799</v>
      </c>
      <c r="AH25" s="104">
        <v>305925.84692913399</v>
      </c>
      <c r="AI25" s="104">
        <v>306367.14960629924</v>
      </c>
      <c r="AJ25" s="104">
        <v>344002.88751237234</v>
      </c>
      <c r="AK25" s="104">
        <v>303216</v>
      </c>
      <c r="AL25" s="104">
        <v>325152.27156701329</v>
      </c>
      <c r="AM25" s="104">
        <v>310703.79555677704</v>
      </c>
      <c r="AN25" s="104">
        <v>296713.70209346002</v>
      </c>
      <c r="AO25" s="104">
        <v>279816.37075064657</v>
      </c>
      <c r="AP25" s="104">
        <v>254968.93227598513</v>
      </c>
      <c r="AQ25" s="104">
        <v>267776.26251223561</v>
      </c>
      <c r="AR25" s="104">
        <v>237595.09653808948</v>
      </c>
      <c r="AS25" s="104">
        <v>228451.64090607275</v>
      </c>
      <c r="AT25" s="104">
        <v>215232.19063488665</v>
      </c>
      <c r="AU25" s="104">
        <v>2014877.8602523739</v>
      </c>
      <c r="AV25" s="104">
        <v>3198</v>
      </c>
      <c r="AW25" s="104">
        <v>16078.912603547366</v>
      </c>
      <c r="AX25" s="108">
        <f t="shared" si="24"/>
        <v>13256915.410018226</v>
      </c>
      <c r="AY25" s="106"/>
      <c r="AZ25" s="103">
        <v>624005.11023622053</v>
      </c>
      <c r="BA25" s="107">
        <v>0</v>
      </c>
      <c r="BB25" s="104">
        <v>2081447.5275590555</v>
      </c>
      <c r="BC25" s="104">
        <v>375836.85039370082</v>
      </c>
      <c r="BD25" s="104">
        <v>424618.85649452766</v>
      </c>
      <c r="BE25" s="104">
        <v>1034758.4866648464</v>
      </c>
      <c r="BF25" s="104">
        <v>8487040.3075876646</v>
      </c>
      <c r="BG25" s="104">
        <v>577087.39307086624</v>
      </c>
      <c r="BH25" s="104">
        <v>487615.85039370082</v>
      </c>
      <c r="BI25" s="104">
        <v>530045.69607986894</v>
      </c>
      <c r="BJ25" s="104">
        <v>472146</v>
      </c>
      <c r="BK25" s="104">
        <v>523671.1584329867</v>
      </c>
      <c r="BL25" s="104">
        <v>561416.87874322268</v>
      </c>
      <c r="BM25" s="104">
        <v>518930.01790654002</v>
      </c>
      <c r="BN25" s="104">
        <v>471240.39185088914</v>
      </c>
      <c r="BO25" s="107">
        <v>460870.03172401479</v>
      </c>
      <c r="BP25" s="107">
        <v>461362.5754877642</v>
      </c>
      <c r="BQ25" s="107">
        <v>461311.1453619104</v>
      </c>
      <c r="BR25" s="107">
        <v>427567.91842092713</v>
      </c>
      <c r="BS25" s="107">
        <v>408829.59266511333</v>
      </c>
      <c r="BT25" s="104">
        <v>3943357.3193579218</v>
      </c>
      <c r="BU25" s="104">
        <v>0</v>
      </c>
      <c r="BV25" s="107">
        <v>0</v>
      </c>
      <c r="BW25" s="108">
        <f t="shared" si="25"/>
        <v>23333159.108431738</v>
      </c>
      <c r="BX25" s="106"/>
      <c r="BY25" s="109">
        <v>0</v>
      </c>
      <c r="BZ25" s="104">
        <v>0</v>
      </c>
      <c r="CA25" s="104">
        <v>0</v>
      </c>
      <c r="CB25" s="104">
        <v>0</v>
      </c>
      <c r="CC25" s="104">
        <v>0</v>
      </c>
      <c r="CD25" s="104">
        <v>0</v>
      </c>
      <c r="CE25" s="104">
        <v>0</v>
      </c>
      <c r="CF25" s="104">
        <v>0</v>
      </c>
      <c r="CG25" s="104">
        <v>0</v>
      </c>
      <c r="CH25" s="104">
        <v>0</v>
      </c>
      <c r="CI25" s="110">
        <v>0</v>
      </c>
      <c r="CJ25" s="110">
        <v>0</v>
      </c>
      <c r="CK25" s="110">
        <v>0</v>
      </c>
      <c r="CL25" s="110">
        <v>0</v>
      </c>
      <c r="CM25" s="110">
        <v>0</v>
      </c>
      <c r="CN25" s="107">
        <v>0</v>
      </c>
      <c r="CO25" s="107">
        <v>0</v>
      </c>
      <c r="CP25" s="107">
        <v>0</v>
      </c>
      <c r="CQ25" s="107">
        <v>0</v>
      </c>
      <c r="CR25" s="107">
        <v>0</v>
      </c>
      <c r="CS25" s="107">
        <v>0</v>
      </c>
      <c r="CT25" s="107">
        <v>0</v>
      </c>
      <c r="CU25" s="107">
        <v>0</v>
      </c>
      <c r="CV25" s="108">
        <f t="shared" si="26"/>
        <v>0</v>
      </c>
    </row>
    <row r="26" spans="1:100" s="3" customFormat="1">
      <c r="A26" s="3" t="s">
        <v>18</v>
      </c>
      <c r="B26" s="103">
        <f t="shared" si="0"/>
        <v>0</v>
      </c>
      <c r="C26" s="104">
        <f t="shared" si="1"/>
        <v>0</v>
      </c>
      <c r="D26" s="104">
        <f t="shared" si="2"/>
        <v>0</v>
      </c>
      <c r="E26" s="104">
        <f t="shared" si="3"/>
        <v>0</v>
      </c>
      <c r="F26" s="104">
        <f t="shared" si="4"/>
        <v>0</v>
      </c>
      <c r="G26" s="104">
        <f t="shared" si="5"/>
        <v>0</v>
      </c>
      <c r="H26" s="104">
        <f t="shared" si="6"/>
        <v>0</v>
      </c>
      <c r="I26" s="104">
        <f t="shared" si="7"/>
        <v>0</v>
      </c>
      <c r="J26" s="104">
        <f t="shared" si="8"/>
        <v>0</v>
      </c>
      <c r="K26" s="104">
        <f t="shared" si="9"/>
        <v>0</v>
      </c>
      <c r="L26" s="104">
        <f t="shared" si="10"/>
        <v>0</v>
      </c>
      <c r="M26" s="104">
        <f t="shared" si="11"/>
        <v>0</v>
      </c>
      <c r="N26" s="104">
        <f t="shared" si="12"/>
        <v>0</v>
      </c>
      <c r="O26" s="104">
        <f t="shared" si="13"/>
        <v>0</v>
      </c>
      <c r="P26" s="104">
        <f t="shared" si="14"/>
        <v>0</v>
      </c>
      <c r="Q26" s="104">
        <f t="shared" si="15"/>
        <v>0</v>
      </c>
      <c r="R26" s="104">
        <f t="shared" si="16"/>
        <v>0</v>
      </c>
      <c r="S26" s="104">
        <f t="shared" si="17"/>
        <v>0</v>
      </c>
      <c r="T26" s="104">
        <f t="shared" si="18"/>
        <v>0</v>
      </c>
      <c r="U26" s="104">
        <f t="shared" si="19"/>
        <v>0</v>
      </c>
      <c r="V26" s="104">
        <f t="shared" si="20"/>
        <v>0</v>
      </c>
      <c r="W26" s="104">
        <f t="shared" si="21"/>
        <v>0</v>
      </c>
      <c r="X26" s="104">
        <f t="shared" si="22"/>
        <v>0</v>
      </c>
      <c r="Y26" s="105">
        <f t="shared" si="23"/>
        <v>0</v>
      </c>
      <c r="Z26" s="106"/>
      <c r="AA26" s="103">
        <v>0</v>
      </c>
      <c r="AB26" s="107">
        <v>0</v>
      </c>
      <c r="AC26" s="104">
        <v>0</v>
      </c>
      <c r="AD26" s="104">
        <v>0</v>
      </c>
      <c r="AE26" s="104">
        <v>0</v>
      </c>
      <c r="AF26" s="104">
        <v>0</v>
      </c>
      <c r="AG26" s="104">
        <v>0</v>
      </c>
      <c r="AH26" s="104">
        <v>0</v>
      </c>
      <c r="AI26" s="104">
        <v>0</v>
      </c>
      <c r="AJ26" s="104">
        <v>0</v>
      </c>
      <c r="AK26" s="104">
        <v>0</v>
      </c>
      <c r="AL26" s="104">
        <v>0</v>
      </c>
      <c r="AM26" s="104">
        <v>0</v>
      </c>
      <c r="AN26" s="104">
        <v>0</v>
      </c>
      <c r="AO26" s="104">
        <v>0</v>
      </c>
      <c r="AP26" s="104">
        <v>0</v>
      </c>
      <c r="AQ26" s="104">
        <v>0</v>
      </c>
      <c r="AR26" s="104">
        <v>0</v>
      </c>
      <c r="AS26" s="104">
        <v>0</v>
      </c>
      <c r="AT26" s="104">
        <v>0</v>
      </c>
      <c r="AU26" s="104">
        <v>0</v>
      </c>
      <c r="AV26" s="104">
        <v>0</v>
      </c>
      <c r="AW26" s="104">
        <v>0</v>
      </c>
      <c r="AX26" s="108">
        <f t="shared" si="24"/>
        <v>0</v>
      </c>
      <c r="AY26" s="106"/>
      <c r="AZ26" s="103">
        <v>0</v>
      </c>
      <c r="BA26" s="107">
        <v>0</v>
      </c>
      <c r="BB26" s="104">
        <v>0</v>
      </c>
      <c r="BC26" s="104">
        <v>0</v>
      </c>
      <c r="BD26" s="104">
        <v>0</v>
      </c>
      <c r="BE26" s="104">
        <v>0</v>
      </c>
      <c r="BF26" s="104">
        <v>0</v>
      </c>
      <c r="BG26" s="104">
        <v>0</v>
      </c>
      <c r="BH26" s="104">
        <v>0</v>
      </c>
      <c r="BI26" s="104">
        <v>0</v>
      </c>
      <c r="BJ26" s="104">
        <v>0</v>
      </c>
      <c r="BK26" s="104">
        <v>0</v>
      </c>
      <c r="BL26" s="104">
        <v>0</v>
      </c>
      <c r="BM26" s="104">
        <v>0</v>
      </c>
      <c r="BN26" s="104">
        <v>0</v>
      </c>
      <c r="BO26" s="107">
        <v>0</v>
      </c>
      <c r="BP26" s="107">
        <v>0</v>
      </c>
      <c r="BQ26" s="107">
        <v>0</v>
      </c>
      <c r="BR26" s="107">
        <v>0</v>
      </c>
      <c r="BS26" s="107">
        <v>0</v>
      </c>
      <c r="BT26" s="104">
        <v>0</v>
      </c>
      <c r="BU26" s="104">
        <v>0</v>
      </c>
      <c r="BV26" s="107">
        <v>0</v>
      </c>
      <c r="BW26" s="108">
        <f t="shared" si="25"/>
        <v>0</v>
      </c>
      <c r="BX26" s="106"/>
      <c r="BY26" s="103">
        <v>0</v>
      </c>
      <c r="BZ26" s="104">
        <v>0</v>
      </c>
      <c r="CA26" s="104">
        <v>0</v>
      </c>
      <c r="CB26" s="104">
        <v>0</v>
      </c>
      <c r="CC26" s="104">
        <v>0</v>
      </c>
      <c r="CD26" s="104">
        <v>0</v>
      </c>
      <c r="CE26" s="104">
        <v>0</v>
      </c>
      <c r="CF26" s="104">
        <v>0</v>
      </c>
      <c r="CG26" s="104">
        <v>0</v>
      </c>
      <c r="CH26" s="104">
        <v>0</v>
      </c>
      <c r="CI26" s="104">
        <v>0</v>
      </c>
      <c r="CJ26" s="104">
        <v>0</v>
      </c>
      <c r="CK26" s="104">
        <v>0</v>
      </c>
      <c r="CL26" s="104">
        <v>0</v>
      </c>
      <c r="CM26" s="104">
        <v>0</v>
      </c>
      <c r="CN26" s="107">
        <v>0</v>
      </c>
      <c r="CO26" s="107">
        <v>0</v>
      </c>
      <c r="CP26" s="107">
        <v>0</v>
      </c>
      <c r="CQ26" s="107">
        <v>0</v>
      </c>
      <c r="CR26" s="107">
        <v>0</v>
      </c>
      <c r="CS26" s="107">
        <v>0</v>
      </c>
      <c r="CT26" s="107">
        <v>0</v>
      </c>
      <c r="CU26" s="107">
        <v>0</v>
      </c>
      <c r="CV26" s="108">
        <f t="shared" si="26"/>
        <v>0</v>
      </c>
    </row>
    <row r="27" spans="1:100" s="3" customFormat="1">
      <c r="A27" s="3" t="s">
        <v>19</v>
      </c>
      <c r="B27" s="103">
        <f t="shared" si="0"/>
        <v>0</v>
      </c>
      <c r="C27" s="104">
        <f t="shared" si="1"/>
        <v>0</v>
      </c>
      <c r="D27" s="104">
        <f t="shared" si="2"/>
        <v>0</v>
      </c>
      <c r="E27" s="104">
        <f t="shared" si="3"/>
        <v>0</v>
      </c>
      <c r="F27" s="104">
        <f t="shared" si="4"/>
        <v>0</v>
      </c>
      <c r="G27" s="104">
        <f t="shared" si="5"/>
        <v>0</v>
      </c>
      <c r="H27" s="104">
        <f t="shared" si="6"/>
        <v>0</v>
      </c>
      <c r="I27" s="104">
        <f t="shared" si="7"/>
        <v>0</v>
      </c>
      <c r="J27" s="104">
        <f t="shared" si="8"/>
        <v>0</v>
      </c>
      <c r="K27" s="104">
        <f t="shared" si="9"/>
        <v>0</v>
      </c>
      <c r="L27" s="104">
        <f t="shared" si="10"/>
        <v>0</v>
      </c>
      <c r="M27" s="104">
        <f t="shared" si="11"/>
        <v>0</v>
      </c>
      <c r="N27" s="104">
        <f t="shared" si="12"/>
        <v>0</v>
      </c>
      <c r="O27" s="104">
        <f t="shared" si="13"/>
        <v>0</v>
      </c>
      <c r="P27" s="104">
        <f t="shared" si="14"/>
        <v>0</v>
      </c>
      <c r="Q27" s="104">
        <f t="shared" si="15"/>
        <v>0</v>
      </c>
      <c r="R27" s="104">
        <f t="shared" si="16"/>
        <v>0</v>
      </c>
      <c r="S27" s="104">
        <f t="shared" si="17"/>
        <v>0</v>
      </c>
      <c r="T27" s="104">
        <f t="shared" si="18"/>
        <v>0</v>
      </c>
      <c r="U27" s="104">
        <f t="shared" si="19"/>
        <v>0</v>
      </c>
      <c r="V27" s="104">
        <f t="shared" si="20"/>
        <v>0</v>
      </c>
      <c r="W27" s="104">
        <f t="shared" si="21"/>
        <v>0</v>
      </c>
      <c r="X27" s="104">
        <f t="shared" si="22"/>
        <v>0</v>
      </c>
      <c r="Y27" s="105">
        <f t="shared" si="23"/>
        <v>0</v>
      </c>
      <c r="Z27" s="106"/>
      <c r="AA27" s="103">
        <v>0</v>
      </c>
      <c r="AB27" s="107">
        <v>0</v>
      </c>
      <c r="AC27" s="104">
        <v>0</v>
      </c>
      <c r="AD27" s="104">
        <v>0</v>
      </c>
      <c r="AE27" s="104">
        <v>0</v>
      </c>
      <c r="AF27" s="104">
        <v>0</v>
      </c>
      <c r="AG27" s="104">
        <v>0</v>
      </c>
      <c r="AH27" s="104">
        <v>0</v>
      </c>
      <c r="AI27" s="104">
        <v>0</v>
      </c>
      <c r="AJ27" s="104">
        <v>0</v>
      </c>
      <c r="AK27" s="104">
        <v>0</v>
      </c>
      <c r="AL27" s="104">
        <v>0</v>
      </c>
      <c r="AM27" s="104">
        <v>0</v>
      </c>
      <c r="AN27" s="104">
        <v>0</v>
      </c>
      <c r="AO27" s="104">
        <v>0</v>
      </c>
      <c r="AP27" s="104">
        <v>0</v>
      </c>
      <c r="AQ27" s="104">
        <v>0</v>
      </c>
      <c r="AR27" s="104">
        <v>0</v>
      </c>
      <c r="AS27" s="104">
        <v>0</v>
      </c>
      <c r="AT27" s="104">
        <v>0</v>
      </c>
      <c r="AU27" s="104">
        <v>0</v>
      </c>
      <c r="AV27" s="104">
        <v>0</v>
      </c>
      <c r="AW27" s="104">
        <v>0</v>
      </c>
      <c r="AX27" s="108">
        <f t="shared" si="24"/>
        <v>0</v>
      </c>
      <c r="AY27" s="106"/>
      <c r="AZ27" s="103">
        <v>0</v>
      </c>
      <c r="BA27" s="107">
        <v>0</v>
      </c>
      <c r="BB27" s="104">
        <v>0</v>
      </c>
      <c r="BC27" s="104">
        <v>0</v>
      </c>
      <c r="BD27" s="104">
        <v>0</v>
      </c>
      <c r="BE27" s="104">
        <v>0</v>
      </c>
      <c r="BF27" s="104">
        <v>0</v>
      </c>
      <c r="BG27" s="104">
        <v>0</v>
      </c>
      <c r="BH27" s="104">
        <v>0</v>
      </c>
      <c r="BI27" s="104">
        <v>0</v>
      </c>
      <c r="BJ27" s="104">
        <v>0</v>
      </c>
      <c r="BK27" s="104">
        <v>0</v>
      </c>
      <c r="BL27" s="104">
        <v>0</v>
      </c>
      <c r="BM27" s="104">
        <v>0</v>
      </c>
      <c r="BN27" s="104">
        <v>0</v>
      </c>
      <c r="BO27" s="107">
        <v>0</v>
      </c>
      <c r="BP27" s="107">
        <v>0</v>
      </c>
      <c r="BQ27" s="107">
        <v>0</v>
      </c>
      <c r="BR27" s="107">
        <v>0</v>
      </c>
      <c r="BS27" s="107">
        <v>0</v>
      </c>
      <c r="BT27" s="104">
        <v>0</v>
      </c>
      <c r="BU27" s="104">
        <v>0</v>
      </c>
      <c r="BV27" s="107">
        <v>0</v>
      </c>
      <c r="BW27" s="108">
        <f t="shared" si="25"/>
        <v>0</v>
      </c>
      <c r="BX27" s="106"/>
      <c r="BY27" s="103">
        <v>0</v>
      </c>
      <c r="BZ27" s="104">
        <v>0</v>
      </c>
      <c r="CA27" s="104">
        <v>0</v>
      </c>
      <c r="CB27" s="104">
        <v>0</v>
      </c>
      <c r="CC27" s="104">
        <v>0</v>
      </c>
      <c r="CD27" s="104">
        <v>0</v>
      </c>
      <c r="CE27" s="104">
        <v>0</v>
      </c>
      <c r="CF27" s="104">
        <v>0</v>
      </c>
      <c r="CG27" s="104">
        <v>0</v>
      </c>
      <c r="CH27" s="104">
        <v>0</v>
      </c>
      <c r="CI27" s="104">
        <v>0</v>
      </c>
      <c r="CJ27" s="104">
        <v>0</v>
      </c>
      <c r="CK27" s="104">
        <v>0</v>
      </c>
      <c r="CL27" s="104">
        <v>0</v>
      </c>
      <c r="CM27" s="104">
        <v>0</v>
      </c>
      <c r="CN27" s="107">
        <v>0</v>
      </c>
      <c r="CO27" s="107">
        <v>0</v>
      </c>
      <c r="CP27" s="107">
        <v>0</v>
      </c>
      <c r="CQ27" s="107">
        <v>0</v>
      </c>
      <c r="CR27" s="107">
        <v>0</v>
      </c>
      <c r="CS27" s="107">
        <v>0</v>
      </c>
      <c r="CT27" s="107">
        <v>0</v>
      </c>
      <c r="CU27" s="107">
        <v>0</v>
      </c>
      <c r="CV27" s="108">
        <f t="shared" si="26"/>
        <v>0</v>
      </c>
    </row>
    <row r="28" spans="1:100" s="3" customFormat="1">
      <c r="A28" s="3" t="s">
        <v>20</v>
      </c>
      <c r="B28" s="103">
        <f t="shared" si="0"/>
        <v>939802</v>
      </c>
      <c r="C28" s="104">
        <f t="shared" si="1"/>
        <v>0</v>
      </c>
      <c r="D28" s="104">
        <f t="shared" si="2"/>
        <v>3161455</v>
      </c>
      <c r="E28" s="104">
        <f t="shared" si="3"/>
        <v>991841</v>
      </c>
      <c r="F28" s="104">
        <f t="shared" si="4"/>
        <v>554629.08606999973</v>
      </c>
      <c r="G28" s="104">
        <f t="shared" si="5"/>
        <v>2136981.6825197348</v>
      </c>
      <c r="H28" s="104">
        <f t="shared" si="6"/>
        <v>19881853.148740638</v>
      </c>
      <c r="I28" s="104">
        <f t="shared" si="7"/>
        <v>967385.37</v>
      </c>
      <c r="J28" s="104">
        <f t="shared" si="8"/>
        <v>799868</v>
      </c>
      <c r="K28" s="104">
        <f t="shared" si="9"/>
        <v>919095.45319056022</v>
      </c>
      <c r="L28" s="104">
        <f t="shared" si="10"/>
        <v>893205</v>
      </c>
      <c r="M28" s="104">
        <f t="shared" si="11"/>
        <v>902410.95000000007</v>
      </c>
      <c r="N28" s="104">
        <f t="shared" si="12"/>
        <v>956918.1706000003</v>
      </c>
      <c r="O28" s="104">
        <f t="shared" si="13"/>
        <v>883558.92500000005</v>
      </c>
      <c r="P28" s="104">
        <f t="shared" si="14"/>
        <v>808424.96593917627</v>
      </c>
      <c r="Q28" s="104">
        <f t="shared" si="15"/>
        <v>788479.69800000009</v>
      </c>
      <c r="R28" s="104">
        <f t="shared" si="16"/>
        <v>761433.696</v>
      </c>
      <c r="S28" s="104">
        <f t="shared" si="17"/>
        <v>770503.71980000008</v>
      </c>
      <c r="T28" s="104">
        <f t="shared" si="18"/>
        <v>696009.07653400011</v>
      </c>
      <c r="U28" s="104">
        <f t="shared" si="19"/>
        <v>679173.96860000002</v>
      </c>
      <c r="V28" s="104">
        <f t="shared" si="20"/>
        <v>638972.75040000002</v>
      </c>
      <c r="W28" s="104">
        <f t="shared" si="21"/>
        <v>630525.28659999999</v>
      </c>
      <c r="X28" s="104">
        <f t="shared" si="22"/>
        <v>5545451.3181610918</v>
      </c>
      <c r="Y28" s="105">
        <f t="shared" si="23"/>
        <v>45307978.266155213</v>
      </c>
      <c r="Z28" s="106"/>
      <c r="AA28" s="103">
        <v>434833.76119402988</v>
      </c>
      <c r="AB28" s="107">
        <v>0</v>
      </c>
      <c r="AC28" s="104">
        <v>1421314.4328358211</v>
      </c>
      <c r="AD28" s="104">
        <v>326238.91044776118</v>
      </c>
      <c r="AE28" s="104">
        <v>256619.42788313419</v>
      </c>
      <c r="AF28" s="104">
        <v>988752.71877778776</v>
      </c>
      <c r="AG28" s="104">
        <v>6547469.815088952</v>
      </c>
      <c r="AH28" s="104">
        <v>447596.21597014926</v>
      </c>
      <c r="AI28" s="104">
        <v>409950.38805970148</v>
      </c>
      <c r="AJ28" s="104">
        <v>459606.43686935963</v>
      </c>
      <c r="AK28" s="104">
        <v>444082</v>
      </c>
      <c r="AL28" s="104">
        <v>457808.98279094079</v>
      </c>
      <c r="AM28" s="104">
        <v>480225.39450396021</v>
      </c>
      <c r="AN28" s="104">
        <v>443112.28081136645</v>
      </c>
      <c r="AO28" s="104">
        <v>405097.72019474028</v>
      </c>
      <c r="AP28" s="104">
        <v>397481.45229425502</v>
      </c>
      <c r="AQ28" s="104">
        <v>369696.42333248624</v>
      </c>
      <c r="AR28" s="104">
        <v>378710.41982809297</v>
      </c>
      <c r="AS28" s="104">
        <v>332952.54274207971</v>
      </c>
      <c r="AT28" s="104">
        <v>332035.94638961827</v>
      </c>
      <c r="AU28" s="104">
        <v>311150.87111057906</v>
      </c>
      <c r="AV28" s="104">
        <v>308457.65977725101</v>
      </c>
      <c r="AW28" s="104">
        <v>2659245.86436021</v>
      </c>
      <c r="AX28" s="108">
        <f t="shared" si="24"/>
        <v>18612439.665262274</v>
      </c>
      <c r="AY28" s="106"/>
      <c r="AZ28" s="103">
        <v>504968.23880597012</v>
      </c>
      <c r="BA28" s="107">
        <v>0</v>
      </c>
      <c r="BB28" s="104">
        <v>1740140.5671641789</v>
      </c>
      <c r="BC28" s="104">
        <v>665602.08955223882</v>
      </c>
      <c r="BD28" s="104">
        <v>298009.6581868655</v>
      </c>
      <c r="BE28" s="104">
        <v>1148228.963741947</v>
      </c>
      <c r="BF28" s="104">
        <v>7603513.3336516852</v>
      </c>
      <c r="BG28" s="104">
        <v>519789.15402985073</v>
      </c>
      <c r="BH28" s="104">
        <v>389917.61194029852</v>
      </c>
      <c r="BI28" s="104">
        <v>459489.01632120053</v>
      </c>
      <c r="BJ28" s="104">
        <v>449123</v>
      </c>
      <c r="BK28" s="104">
        <v>444601.96720905928</v>
      </c>
      <c r="BL28" s="104">
        <v>476692.77609604003</v>
      </c>
      <c r="BM28" s="104">
        <v>440446.6441886336</v>
      </c>
      <c r="BN28" s="104">
        <v>403327.24574443593</v>
      </c>
      <c r="BO28" s="107">
        <v>390998.24570574507</v>
      </c>
      <c r="BP28" s="107">
        <v>391737.27266751375</v>
      </c>
      <c r="BQ28" s="107">
        <v>391793.29997190711</v>
      </c>
      <c r="BR28" s="107">
        <v>363056.5337919204</v>
      </c>
      <c r="BS28" s="107">
        <v>347138.02221038181</v>
      </c>
      <c r="BT28" s="104">
        <v>327821.87928942096</v>
      </c>
      <c r="BU28" s="104">
        <v>322067.62682274904</v>
      </c>
      <c r="BV28" s="107">
        <v>2886205.4538008817</v>
      </c>
      <c r="BW28" s="108">
        <f t="shared" si="25"/>
        <v>20964668.600892924</v>
      </c>
      <c r="BX28" s="106"/>
      <c r="BY28" s="109">
        <v>0</v>
      </c>
      <c r="BZ28" s="104">
        <v>0</v>
      </c>
      <c r="CA28" s="104">
        <v>0</v>
      </c>
      <c r="CB28" s="104">
        <v>0</v>
      </c>
      <c r="CC28" s="104">
        <v>0</v>
      </c>
      <c r="CD28" s="104">
        <v>0</v>
      </c>
      <c r="CE28" s="104">
        <v>5730870</v>
      </c>
      <c r="CF28" s="104">
        <v>0</v>
      </c>
      <c r="CG28" s="104">
        <v>0</v>
      </c>
      <c r="CH28" s="104">
        <v>0</v>
      </c>
      <c r="CI28" s="110">
        <v>0</v>
      </c>
      <c r="CJ28" s="110">
        <v>0</v>
      </c>
      <c r="CK28" s="110">
        <v>0</v>
      </c>
      <c r="CL28" s="110">
        <v>0</v>
      </c>
      <c r="CM28" s="110">
        <v>0</v>
      </c>
      <c r="CN28" s="107">
        <v>0</v>
      </c>
      <c r="CO28" s="107">
        <v>0</v>
      </c>
      <c r="CP28" s="107">
        <v>0</v>
      </c>
      <c r="CQ28" s="107">
        <v>0</v>
      </c>
      <c r="CR28" s="107">
        <v>0</v>
      </c>
      <c r="CS28" s="107">
        <v>0</v>
      </c>
      <c r="CT28" s="107">
        <v>0</v>
      </c>
      <c r="CU28" s="107">
        <v>0</v>
      </c>
      <c r="CV28" s="108">
        <f t="shared" si="26"/>
        <v>5730870</v>
      </c>
    </row>
    <row r="29" spans="1:100" s="3" customFormat="1">
      <c r="A29" s="3" t="s">
        <v>21</v>
      </c>
      <c r="B29" s="103">
        <f t="shared" si="0"/>
        <v>2822144</v>
      </c>
      <c r="C29" s="104">
        <f t="shared" si="1"/>
        <v>0</v>
      </c>
      <c r="D29" s="104">
        <f t="shared" si="2"/>
        <v>7143953</v>
      </c>
      <c r="E29" s="104">
        <f t="shared" si="3"/>
        <v>2126432.73</v>
      </c>
      <c r="F29" s="104">
        <f t="shared" si="4"/>
        <v>2437721.5047649997</v>
      </c>
      <c r="G29" s="104">
        <f t="shared" si="5"/>
        <v>3630463.3565818518</v>
      </c>
      <c r="H29" s="104">
        <f t="shared" si="6"/>
        <v>29962595.086788714</v>
      </c>
      <c r="I29" s="104">
        <f t="shared" si="7"/>
        <v>2111279.4500000002</v>
      </c>
      <c r="J29" s="104">
        <f t="shared" si="8"/>
        <v>1911213</v>
      </c>
      <c r="K29" s="104">
        <f t="shared" si="9"/>
        <v>2044556.0072923498</v>
      </c>
      <c r="L29" s="104">
        <f t="shared" si="10"/>
        <v>1930419</v>
      </c>
      <c r="M29" s="104">
        <f t="shared" si="11"/>
        <v>1952670.38</v>
      </c>
      <c r="N29" s="104">
        <f t="shared" si="12"/>
        <v>2055967.6236999999</v>
      </c>
      <c r="O29" s="104">
        <f t="shared" si="13"/>
        <v>1928202.2349999999</v>
      </c>
      <c r="P29" s="104">
        <f t="shared" si="14"/>
        <v>1767230.4302025887</v>
      </c>
      <c r="Q29" s="104">
        <f t="shared" si="15"/>
        <v>1697672.6259999999</v>
      </c>
      <c r="R29" s="104">
        <f t="shared" si="16"/>
        <v>1642522.862</v>
      </c>
      <c r="S29" s="104">
        <f t="shared" si="17"/>
        <v>1671539.4320999999</v>
      </c>
      <c r="T29" s="104">
        <f t="shared" si="18"/>
        <v>1567949.5830930001</v>
      </c>
      <c r="U29" s="104">
        <f t="shared" si="19"/>
        <v>1453786.3047</v>
      </c>
      <c r="V29" s="104">
        <f t="shared" si="20"/>
        <v>1395128.8407999999</v>
      </c>
      <c r="W29" s="104">
        <f t="shared" si="21"/>
        <v>13306691.205095766</v>
      </c>
      <c r="X29" s="104">
        <f t="shared" si="22"/>
        <v>243943.95266151181</v>
      </c>
      <c r="Y29" s="105">
        <f t="shared" si="23"/>
        <v>86804082.610780805</v>
      </c>
      <c r="Z29" s="106"/>
      <c r="AA29" s="103">
        <v>1338832.8191126278</v>
      </c>
      <c r="AB29" s="107">
        <v>0</v>
      </c>
      <c r="AC29" s="104">
        <v>3320229.6757679177</v>
      </c>
      <c r="AD29" s="104">
        <v>1427669.9552559727</v>
      </c>
      <c r="AE29" s="104">
        <v>1562833.2112707677</v>
      </c>
      <c r="AF29" s="104">
        <v>1722301.7288903664</v>
      </c>
      <c r="AG29" s="104">
        <v>14214336.918305907</v>
      </c>
      <c r="AH29" s="104">
        <v>1001596.7356655288</v>
      </c>
      <c r="AI29" s="104">
        <v>1003469.8737201365</v>
      </c>
      <c r="AJ29" s="104">
        <v>1060818.1005686691</v>
      </c>
      <c r="AK29" s="104">
        <v>996658</v>
      </c>
      <c r="AL29" s="104">
        <v>992349.27042360208</v>
      </c>
      <c r="AM29" s="104">
        <v>1026191.318545014</v>
      </c>
      <c r="AN29" s="104">
        <v>976638.8648761831</v>
      </c>
      <c r="AO29" s="104">
        <v>903321.99493684189</v>
      </c>
      <c r="AP29" s="104">
        <v>852975.29367623804</v>
      </c>
      <c r="AQ29" s="104">
        <v>797487.29738700064</v>
      </c>
      <c r="AR29" s="104">
        <v>825330.76460691262</v>
      </c>
      <c r="AS29" s="104">
        <v>783546.41932146985</v>
      </c>
      <c r="AT29" s="104">
        <v>703771.1980493326</v>
      </c>
      <c r="AU29" s="104">
        <v>686829.46649018105</v>
      </c>
      <c r="AV29" s="104">
        <v>6318970.3061213456</v>
      </c>
      <c r="AW29" s="104">
        <v>243943.95266151181</v>
      </c>
      <c r="AX29" s="108">
        <f t="shared" si="24"/>
        <v>42760103.165653527</v>
      </c>
      <c r="AY29" s="106"/>
      <c r="AZ29" s="103">
        <v>1483311.1808873722</v>
      </c>
      <c r="BA29" s="107">
        <v>0</v>
      </c>
      <c r="BB29" s="104">
        <v>3823723.3242320819</v>
      </c>
      <c r="BC29" s="104">
        <v>698762.77474402729</v>
      </c>
      <c r="BD29" s="104">
        <v>874888.293494232</v>
      </c>
      <c r="BE29" s="104">
        <v>1908161.6276914855</v>
      </c>
      <c r="BF29" s="104">
        <v>15748258.168482808</v>
      </c>
      <c r="BG29" s="104">
        <v>1109682.7143344712</v>
      </c>
      <c r="BH29" s="104">
        <v>907743.12627986353</v>
      </c>
      <c r="BI29" s="104">
        <v>983737.90672368067</v>
      </c>
      <c r="BJ29" s="104">
        <v>933761</v>
      </c>
      <c r="BK29" s="104">
        <v>960321.10957639792</v>
      </c>
      <c r="BL29" s="104">
        <v>1029776.3051549857</v>
      </c>
      <c r="BM29" s="104">
        <v>951563.37012381689</v>
      </c>
      <c r="BN29" s="104">
        <v>863908.43526574678</v>
      </c>
      <c r="BO29" s="107">
        <v>844697.33232376189</v>
      </c>
      <c r="BP29" s="107">
        <v>845035.56461299933</v>
      </c>
      <c r="BQ29" s="107">
        <v>846208.66749308724</v>
      </c>
      <c r="BR29" s="107">
        <v>784403.16377153026</v>
      </c>
      <c r="BS29" s="107">
        <v>750015.10665066738</v>
      </c>
      <c r="BT29" s="104">
        <v>708299.37430981884</v>
      </c>
      <c r="BU29" s="104">
        <v>6987720.8989744205</v>
      </c>
      <c r="BV29" s="107">
        <v>0</v>
      </c>
      <c r="BW29" s="108">
        <f t="shared" si="25"/>
        <v>44043979.445127256</v>
      </c>
      <c r="BX29" s="106"/>
      <c r="BY29" s="109">
        <v>0</v>
      </c>
      <c r="BZ29" s="104">
        <v>0</v>
      </c>
      <c r="CA29" s="104">
        <v>0</v>
      </c>
      <c r="CB29" s="104">
        <v>0</v>
      </c>
      <c r="CC29" s="104">
        <v>0</v>
      </c>
      <c r="CD29" s="104">
        <v>0</v>
      </c>
      <c r="CE29" s="104">
        <v>0</v>
      </c>
      <c r="CF29" s="104">
        <v>0</v>
      </c>
      <c r="CG29" s="104">
        <v>0</v>
      </c>
      <c r="CH29" s="104">
        <v>0</v>
      </c>
      <c r="CI29" s="110">
        <v>0</v>
      </c>
      <c r="CJ29" s="110">
        <v>0</v>
      </c>
      <c r="CK29" s="110">
        <v>0</v>
      </c>
      <c r="CL29" s="110">
        <v>0</v>
      </c>
      <c r="CM29" s="110">
        <v>0</v>
      </c>
      <c r="CN29" s="107">
        <v>0</v>
      </c>
      <c r="CO29" s="107">
        <v>0</v>
      </c>
      <c r="CP29" s="107">
        <v>0</v>
      </c>
      <c r="CQ29" s="107">
        <v>0</v>
      </c>
      <c r="CR29" s="107">
        <v>0</v>
      </c>
      <c r="CS29" s="107">
        <v>0</v>
      </c>
      <c r="CT29" s="107">
        <v>0</v>
      </c>
      <c r="CU29" s="107">
        <v>0</v>
      </c>
      <c r="CV29" s="108">
        <f t="shared" si="26"/>
        <v>0</v>
      </c>
    </row>
    <row r="30" spans="1:100" s="3" customFormat="1">
      <c r="A30" s="3" t="s">
        <v>22</v>
      </c>
      <c r="B30" s="103">
        <f t="shared" si="0"/>
        <v>0</v>
      </c>
      <c r="C30" s="104">
        <f t="shared" si="1"/>
        <v>0</v>
      </c>
      <c r="D30" s="104">
        <f t="shared" si="2"/>
        <v>0</v>
      </c>
      <c r="E30" s="104">
        <f t="shared" si="3"/>
        <v>0</v>
      </c>
      <c r="F30" s="104">
        <f t="shared" si="4"/>
        <v>0</v>
      </c>
      <c r="G30" s="104">
        <f t="shared" si="5"/>
        <v>0</v>
      </c>
      <c r="H30" s="104">
        <f t="shared" si="6"/>
        <v>0</v>
      </c>
      <c r="I30" s="104">
        <f t="shared" si="7"/>
        <v>0</v>
      </c>
      <c r="J30" s="104">
        <f t="shared" si="8"/>
        <v>0</v>
      </c>
      <c r="K30" s="104">
        <f t="shared" si="9"/>
        <v>0</v>
      </c>
      <c r="L30" s="104">
        <f t="shared" si="10"/>
        <v>0</v>
      </c>
      <c r="M30" s="104">
        <f t="shared" si="11"/>
        <v>0</v>
      </c>
      <c r="N30" s="104">
        <f t="shared" si="12"/>
        <v>0</v>
      </c>
      <c r="O30" s="104">
        <f t="shared" si="13"/>
        <v>0</v>
      </c>
      <c r="P30" s="104">
        <f t="shared" si="14"/>
        <v>0</v>
      </c>
      <c r="Q30" s="104">
        <f t="shared" si="15"/>
        <v>0</v>
      </c>
      <c r="R30" s="104">
        <f t="shared" si="16"/>
        <v>0</v>
      </c>
      <c r="S30" s="104">
        <f t="shared" si="17"/>
        <v>0</v>
      </c>
      <c r="T30" s="104">
        <f t="shared" si="18"/>
        <v>0</v>
      </c>
      <c r="U30" s="104">
        <f t="shared" si="19"/>
        <v>0</v>
      </c>
      <c r="V30" s="104">
        <f t="shared" si="20"/>
        <v>0</v>
      </c>
      <c r="W30" s="104">
        <f t="shared" si="21"/>
        <v>0</v>
      </c>
      <c r="X30" s="104">
        <f t="shared" si="22"/>
        <v>0</v>
      </c>
      <c r="Y30" s="105">
        <f t="shared" si="23"/>
        <v>0</v>
      </c>
      <c r="Z30" s="106"/>
      <c r="AA30" s="103">
        <v>0</v>
      </c>
      <c r="AB30" s="107">
        <v>0</v>
      </c>
      <c r="AC30" s="104">
        <v>0</v>
      </c>
      <c r="AD30" s="104">
        <v>0</v>
      </c>
      <c r="AE30" s="104">
        <v>0</v>
      </c>
      <c r="AF30" s="104">
        <v>0</v>
      </c>
      <c r="AG30" s="104">
        <v>0</v>
      </c>
      <c r="AH30" s="104">
        <v>0</v>
      </c>
      <c r="AI30" s="104">
        <v>0</v>
      </c>
      <c r="AJ30" s="104">
        <v>0</v>
      </c>
      <c r="AK30" s="104">
        <v>0</v>
      </c>
      <c r="AL30" s="104">
        <v>0</v>
      </c>
      <c r="AM30" s="104">
        <v>0</v>
      </c>
      <c r="AN30" s="104">
        <v>0</v>
      </c>
      <c r="AO30" s="104">
        <v>0</v>
      </c>
      <c r="AP30" s="104">
        <v>0</v>
      </c>
      <c r="AQ30" s="104">
        <v>0</v>
      </c>
      <c r="AR30" s="104">
        <v>0</v>
      </c>
      <c r="AS30" s="104">
        <v>0</v>
      </c>
      <c r="AT30" s="104">
        <v>0</v>
      </c>
      <c r="AU30" s="104">
        <v>0</v>
      </c>
      <c r="AV30" s="104">
        <v>0</v>
      </c>
      <c r="AW30" s="104">
        <v>0</v>
      </c>
      <c r="AX30" s="108">
        <f t="shared" si="24"/>
        <v>0</v>
      </c>
      <c r="AY30" s="106"/>
      <c r="AZ30" s="103">
        <v>0</v>
      </c>
      <c r="BA30" s="107">
        <v>0</v>
      </c>
      <c r="BB30" s="104">
        <v>0</v>
      </c>
      <c r="BC30" s="104">
        <v>0</v>
      </c>
      <c r="BD30" s="104">
        <v>0</v>
      </c>
      <c r="BE30" s="104">
        <v>0</v>
      </c>
      <c r="BF30" s="104">
        <v>0</v>
      </c>
      <c r="BG30" s="104">
        <v>0</v>
      </c>
      <c r="BH30" s="104">
        <v>0</v>
      </c>
      <c r="BI30" s="104">
        <v>0</v>
      </c>
      <c r="BJ30" s="104">
        <v>0</v>
      </c>
      <c r="BK30" s="104">
        <v>0</v>
      </c>
      <c r="BL30" s="104">
        <v>0</v>
      </c>
      <c r="BM30" s="104">
        <v>0</v>
      </c>
      <c r="BN30" s="104">
        <v>0</v>
      </c>
      <c r="BO30" s="107">
        <v>0</v>
      </c>
      <c r="BP30" s="107">
        <v>0</v>
      </c>
      <c r="BQ30" s="107">
        <v>0</v>
      </c>
      <c r="BR30" s="107">
        <v>0</v>
      </c>
      <c r="BS30" s="107">
        <v>0</v>
      </c>
      <c r="BT30" s="104">
        <v>0</v>
      </c>
      <c r="BU30" s="104">
        <v>0</v>
      </c>
      <c r="BV30" s="107">
        <v>0</v>
      </c>
      <c r="BW30" s="108">
        <f t="shared" si="25"/>
        <v>0</v>
      </c>
      <c r="BX30" s="106"/>
      <c r="BY30" s="103">
        <v>0</v>
      </c>
      <c r="BZ30" s="104">
        <v>0</v>
      </c>
      <c r="CA30" s="104">
        <v>0</v>
      </c>
      <c r="CB30" s="104">
        <v>0</v>
      </c>
      <c r="CC30" s="104">
        <v>0</v>
      </c>
      <c r="CD30" s="104">
        <v>0</v>
      </c>
      <c r="CE30" s="104">
        <v>0</v>
      </c>
      <c r="CF30" s="104">
        <v>0</v>
      </c>
      <c r="CG30" s="104">
        <v>0</v>
      </c>
      <c r="CH30" s="104">
        <v>0</v>
      </c>
      <c r="CI30" s="104">
        <v>0</v>
      </c>
      <c r="CJ30" s="104">
        <v>0</v>
      </c>
      <c r="CK30" s="104">
        <v>0</v>
      </c>
      <c r="CL30" s="104">
        <v>0</v>
      </c>
      <c r="CM30" s="104">
        <v>0</v>
      </c>
      <c r="CN30" s="107">
        <v>0</v>
      </c>
      <c r="CO30" s="107">
        <v>0</v>
      </c>
      <c r="CP30" s="107">
        <v>0</v>
      </c>
      <c r="CQ30" s="107">
        <v>0</v>
      </c>
      <c r="CR30" s="107">
        <v>0</v>
      </c>
      <c r="CS30" s="107">
        <v>0</v>
      </c>
      <c r="CT30" s="107">
        <v>0</v>
      </c>
      <c r="CU30" s="107">
        <v>0</v>
      </c>
      <c r="CV30" s="108">
        <f t="shared" si="26"/>
        <v>0</v>
      </c>
    </row>
    <row r="31" spans="1:100" s="3" customFormat="1">
      <c r="A31" s="3" t="s">
        <v>23</v>
      </c>
      <c r="B31" s="103">
        <f t="shared" si="0"/>
        <v>1586588</v>
      </c>
      <c r="C31" s="104">
        <f t="shared" si="1"/>
        <v>0</v>
      </c>
      <c r="D31" s="104">
        <f t="shared" si="2"/>
        <v>4499006</v>
      </c>
      <c r="E31" s="104">
        <f t="shared" si="3"/>
        <v>1245140.8</v>
      </c>
      <c r="F31" s="104">
        <f t="shared" si="4"/>
        <v>1511780.1059549998</v>
      </c>
      <c r="G31" s="104">
        <f t="shared" si="5"/>
        <v>2034932.4525546422</v>
      </c>
      <c r="H31" s="104">
        <f t="shared" si="6"/>
        <v>17418752.24767286</v>
      </c>
      <c r="I31" s="104">
        <f t="shared" si="7"/>
        <v>1246524.5299999998</v>
      </c>
      <c r="J31" s="104">
        <f t="shared" si="8"/>
        <v>1054484</v>
      </c>
      <c r="K31" s="104">
        <f t="shared" si="9"/>
        <v>1197229.8347603518</v>
      </c>
      <c r="L31" s="104">
        <f t="shared" si="10"/>
        <v>1276227</v>
      </c>
      <c r="M31" s="104">
        <f t="shared" si="11"/>
        <v>1182177.8199999998</v>
      </c>
      <c r="N31" s="104">
        <f t="shared" si="12"/>
        <v>1234000.3947999999</v>
      </c>
      <c r="O31" s="104">
        <f t="shared" si="13"/>
        <v>1133235.01</v>
      </c>
      <c r="P31" s="104">
        <f t="shared" si="14"/>
        <v>1037762.0114976203</v>
      </c>
      <c r="Q31" s="104">
        <f t="shared" si="15"/>
        <v>1016409.324</v>
      </c>
      <c r="R31" s="104">
        <f t="shared" si="16"/>
        <v>1023228.1279999998</v>
      </c>
      <c r="S31" s="104">
        <f t="shared" si="17"/>
        <v>996818.02839999995</v>
      </c>
      <c r="T31" s="104">
        <f t="shared" si="18"/>
        <v>931945.32137200015</v>
      </c>
      <c r="U31" s="104">
        <f t="shared" si="19"/>
        <v>863018.25879999984</v>
      </c>
      <c r="V31" s="104">
        <f t="shared" si="20"/>
        <v>8101647.1439282112</v>
      </c>
      <c r="W31" s="104">
        <f t="shared" si="21"/>
        <v>16855</v>
      </c>
      <c r="X31" s="104">
        <f t="shared" si="22"/>
        <v>84743.612236645058</v>
      </c>
      <c r="Y31" s="105">
        <f t="shared" si="23"/>
        <v>50692505.023977317</v>
      </c>
      <c r="Z31" s="106"/>
      <c r="AA31" s="103">
        <v>389688.28070175438</v>
      </c>
      <c r="AB31" s="107">
        <v>0</v>
      </c>
      <c r="AC31" s="104">
        <v>1111293.6140350876</v>
      </c>
      <c r="AD31" s="104">
        <v>922158.23859649128</v>
      </c>
      <c r="AE31" s="104">
        <v>827022.89514684211</v>
      </c>
      <c r="AF31" s="104">
        <v>499758.84799587703</v>
      </c>
      <c r="AG31" s="104">
        <v>4275766.5871477192</v>
      </c>
      <c r="AH31" s="104">
        <v>306163.91964912275</v>
      </c>
      <c r="AI31" s="104">
        <v>348997.91228070174</v>
      </c>
      <c r="AJ31" s="104">
        <v>373964.51383964979</v>
      </c>
      <c r="AK31" s="104">
        <v>402770</v>
      </c>
      <c r="AL31" s="104">
        <v>380434.84583505709</v>
      </c>
      <c r="AM31" s="104">
        <v>374370.45101423725</v>
      </c>
      <c r="AN31" s="104">
        <v>338679.70235493581</v>
      </c>
      <c r="AO31" s="104">
        <v>314038.36737568548</v>
      </c>
      <c r="AP31" s="104">
        <v>311295.48200639198</v>
      </c>
      <c r="AQ31" s="104">
        <v>317310.22076858958</v>
      </c>
      <c r="AR31" s="104">
        <v>290658.02544666978</v>
      </c>
      <c r="AS31" s="104">
        <v>277227.09764414537</v>
      </c>
      <c r="AT31" s="104">
        <v>237005.77836523936</v>
      </c>
      <c r="AU31" s="104">
        <v>2063506.7968494901</v>
      </c>
      <c r="AV31" s="104">
        <v>16855</v>
      </c>
      <c r="AW31" s="104">
        <v>84743.612236645058</v>
      </c>
      <c r="AX31" s="108">
        <f t="shared" si="24"/>
        <v>14463710.18929033</v>
      </c>
      <c r="AY31" s="106"/>
      <c r="AZ31" s="103">
        <v>1196899.7192982456</v>
      </c>
      <c r="BA31" s="107">
        <v>0</v>
      </c>
      <c r="BB31" s="104">
        <v>3387712.3859649124</v>
      </c>
      <c r="BC31" s="104">
        <v>322847.56140350876</v>
      </c>
      <c r="BD31" s="104">
        <v>684757.21080815769</v>
      </c>
      <c r="BE31" s="104">
        <v>1534973.6045587652</v>
      </c>
      <c r="BF31" s="104">
        <v>13132711.660525139</v>
      </c>
      <c r="BG31" s="104">
        <v>940360.61035087716</v>
      </c>
      <c r="BH31" s="104">
        <v>705486.0877192982</v>
      </c>
      <c r="BI31" s="104">
        <v>823265.32092070195</v>
      </c>
      <c r="BJ31" s="104">
        <v>873457</v>
      </c>
      <c r="BK31" s="104">
        <v>801742.97416494286</v>
      </c>
      <c r="BL31" s="104">
        <v>859629.94378576276</v>
      </c>
      <c r="BM31" s="104">
        <v>794555.3076450642</v>
      </c>
      <c r="BN31" s="104">
        <v>723723.64412193478</v>
      </c>
      <c r="BO31" s="107">
        <v>705113.84199360805</v>
      </c>
      <c r="BP31" s="107">
        <v>705917.90723141015</v>
      </c>
      <c r="BQ31" s="107">
        <v>706160.00295333017</v>
      </c>
      <c r="BR31" s="107">
        <v>654718.22372785478</v>
      </c>
      <c r="BS31" s="107">
        <v>626012.48043476045</v>
      </c>
      <c r="BT31" s="104">
        <v>6038140.347078721</v>
      </c>
      <c r="BU31" s="104">
        <v>0</v>
      </c>
      <c r="BV31" s="107">
        <v>0</v>
      </c>
      <c r="BW31" s="108">
        <f t="shared" si="25"/>
        <v>36218185.834686995</v>
      </c>
      <c r="BX31" s="106"/>
      <c r="BY31" s="109">
        <v>0</v>
      </c>
      <c r="BZ31" s="104">
        <v>0</v>
      </c>
      <c r="CA31" s="104">
        <v>0</v>
      </c>
      <c r="CB31" s="104">
        <v>135</v>
      </c>
      <c r="CC31" s="104">
        <v>0</v>
      </c>
      <c r="CD31" s="104">
        <v>200</v>
      </c>
      <c r="CE31" s="104">
        <v>10274</v>
      </c>
      <c r="CF31" s="104">
        <v>0</v>
      </c>
      <c r="CG31" s="104">
        <v>0</v>
      </c>
      <c r="CH31" s="104">
        <v>0</v>
      </c>
      <c r="CI31" s="110">
        <v>0</v>
      </c>
      <c r="CJ31" s="110">
        <v>0</v>
      </c>
      <c r="CK31" s="110">
        <v>0</v>
      </c>
      <c r="CL31" s="110">
        <v>0</v>
      </c>
      <c r="CM31" s="110">
        <v>0</v>
      </c>
      <c r="CN31" s="107">
        <v>0</v>
      </c>
      <c r="CO31" s="107">
        <v>0</v>
      </c>
      <c r="CP31" s="107">
        <v>0</v>
      </c>
      <c r="CQ31" s="107">
        <v>0</v>
      </c>
      <c r="CR31" s="107">
        <v>0</v>
      </c>
      <c r="CS31" s="107">
        <v>0</v>
      </c>
      <c r="CT31" s="107">
        <v>0</v>
      </c>
      <c r="CU31" s="107">
        <v>0</v>
      </c>
      <c r="CV31" s="108">
        <f t="shared" si="26"/>
        <v>10609</v>
      </c>
    </row>
    <row r="32" spans="1:100" s="3" customFormat="1">
      <c r="A32" s="3" t="s">
        <v>24</v>
      </c>
      <c r="B32" s="103">
        <f t="shared" si="0"/>
        <v>759574</v>
      </c>
      <c r="C32" s="104">
        <f t="shared" si="1"/>
        <v>0</v>
      </c>
      <c r="D32" s="104">
        <f t="shared" si="2"/>
        <v>896290.00000000012</v>
      </c>
      <c r="E32" s="104">
        <f t="shared" si="3"/>
        <v>2182273.6300000004</v>
      </c>
      <c r="F32" s="104">
        <f t="shared" si="4"/>
        <v>1011323.0000000001</v>
      </c>
      <c r="G32" s="104">
        <f t="shared" si="5"/>
        <v>1101255.3062695002</v>
      </c>
      <c r="H32" s="104">
        <f t="shared" si="6"/>
        <v>8499263.8546449579</v>
      </c>
      <c r="I32" s="104">
        <f t="shared" si="7"/>
        <v>724544.7100000002</v>
      </c>
      <c r="J32" s="104">
        <f t="shared" si="8"/>
        <v>440702</v>
      </c>
      <c r="K32" s="104">
        <f t="shared" si="9"/>
        <v>620365.52759658895</v>
      </c>
      <c r="L32" s="104">
        <f t="shared" si="10"/>
        <v>579481</v>
      </c>
      <c r="M32" s="104">
        <f t="shared" si="11"/>
        <v>591690.06000000006</v>
      </c>
      <c r="N32" s="104">
        <f t="shared" si="12"/>
        <v>622859.1638000001</v>
      </c>
      <c r="O32" s="104">
        <f t="shared" si="13"/>
        <v>573053.48</v>
      </c>
      <c r="P32" s="104">
        <f t="shared" si="14"/>
        <v>495816.94728916837</v>
      </c>
      <c r="Q32" s="104">
        <f t="shared" si="15"/>
        <v>490396.99400000006</v>
      </c>
      <c r="R32" s="104">
        <f t="shared" si="16"/>
        <v>504117.35800000012</v>
      </c>
      <c r="S32" s="104">
        <f t="shared" si="17"/>
        <v>475967.45540000009</v>
      </c>
      <c r="T32" s="104">
        <f t="shared" si="18"/>
        <v>447732.79728200001</v>
      </c>
      <c r="U32" s="104">
        <f t="shared" si="19"/>
        <v>430693.30779999995</v>
      </c>
      <c r="V32" s="104">
        <f t="shared" si="20"/>
        <v>3873472.1673589172</v>
      </c>
      <c r="W32" s="104">
        <f t="shared" si="21"/>
        <v>30350</v>
      </c>
      <c r="X32" s="104">
        <f t="shared" si="22"/>
        <v>152593.80785417842</v>
      </c>
      <c r="Y32" s="105">
        <f t="shared" si="23"/>
        <v>25503816.567295309</v>
      </c>
      <c r="Z32" s="106"/>
      <c r="AA32" s="103">
        <v>574312.04878048785</v>
      </c>
      <c r="AB32" s="107">
        <v>0</v>
      </c>
      <c r="AC32" s="104">
        <v>665232.24390243914</v>
      </c>
      <c r="AD32" s="104">
        <v>1849023.7275609758</v>
      </c>
      <c r="AE32" s="104">
        <v>764022.97560975619</v>
      </c>
      <c r="AF32" s="104">
        <v>825361.62181352451</v>
      </c>
      <c r="AG32" s="104">
        <v>6362047.4754632609</v>
      </c>
      <c r="AH32" s="104">
        <v>547826.48804878059</v>
      </c>
      <c r="AI32" s="104">
        <v>356381.75609756098</v>
      </c>
      <c r="AJ32" s="104">
        <v>492482.45633957756</v>
      </c>
      <c r="AK32" s="104">
        <v>453243</v>
      </c>
      <c r="AL32" s="104">
        <v>464048.2461906558</v>
      </c>
      <c r="AM32" s="104">
        <v>485998.04066333413</v>
      </c>
      <c r="AN32" s="104">
        <v>446836.99539555481</v>
      </c>
      <c r="AO32" s="104">
        <v>382220.9295881415</v>
      </c>
      <c r="AP32" s="104">
        <v>378077.70720269601</v>
      </c>
      <c r="AQ32" s="104">
        <v>391647.11347655678</v>
      </c>
      <c r="AR32" s="104">
        <v>363448.22641520831</v>
      </c>
      <c r="AS32" s="104">
        <v>343498.53555306315</v>
      </c>
      <c r="AT32" s="104">
        <v>330931.0150540935</v>
      </c>
      <c r="AU32" s="104">
        <v>2912168.5187514215</v>
      </c>
      <c r="AV32" s="104">
        <v>30350</v>
      </c>
      <c r="AW32" s="104">
        <v>152593.80785417842</v>
      </c>
      <c r="AX32" s="108">
        <f t="shared" si="24"/>
        <v>19571752.929761264</v>
      </c>
      <c r="AY32" s="106"/>
      <c r="AZ32" s="103">
        <v>185261.95121951221</v>
      </c>
      <c r="BA32" s="107">
        <v>0</v>
      </c>
      <c r="BB32" s="104">
        <v>231057.75609756101</v>
      </c>
      <c r="BC32" s="104">
        <v>332868.90243902442</v>
      </c>
      <c r="BD32" s="104">
        <v>246459.02439024393</v>
      </c>
      <c r="BE32" s="104">
        <v>266245.6844559756</v>
      </c>
      <c r="BF32" s="104">
        <v>2052273.379181697</v>
      </c>
      <c r="BG32" s="104">
        <v>176718.22195121954</v>
      </c>
      <c r="BH32" s="104">
        <v>84320.243902439033</v>
      </c>
      <c r="BI32" s="104">
        <v>127883.07125701144</v>
      </c>
      <c r="BJ32" s="104">
        <v>126238</v>
      </c>
      <c r="BK32" s="104">
        <v>127641.81380934421</v>
      </c>
      <c r="BL32" s="104">
        <v>136861.12313666596</v>
      </c>
      <c r="BM32" s="104">
        <v>126216.48460444517</v>
      </c>
      <c r="BN32" s="104">
        <v>113596.01770102687</v>
      </c>
      <c r="BO32" s="107">
        <v>112319.28679730404</v>
      </c>
      <c r="BP32" s="107">
        <v>112470.24452344337</v>
      </c>
      <c r="BQ32" s="107">
        <v>112519.22898479181</v>
      </c>
      <c r="BR32" s="107">
        <v>104234.26172893686</v>
      </c>
      <c r="BS32" s="107">
        <v>99762.292745906481</v>
      </c>
      <c r="BT32" s="104">
        <v>961303.64860749559</v>
      </c>
      <c r="BU32" s="104">
        <v>0</v>
      </c>
      <c r="BV32" s="107">
        <v>0</v>
      </c>
      <c r="BW32" s="108">
        <f t="shared" si="25"/>
        <v>5836250.6375340447</v>
      </c>
      <c r="BX32" s="106"/>
      <c r="BY32" s="109">
        <v>0</v>
      </c>
      <c r="BZ32" s="104">
        <v>0</v>
      </c>
      <c r="CA32" s="104">
        <v>0</v>
      </c>
      <c r="CB32" s="104">
        <v>381</v>
      </c>
      <c r="CC32" s="104">
        <v>841</v>
      </c>
      <c r="CD32" s="104">
        <v>9648</v>
      </c>
      <c r="CE32" s="104">
        <v>84943</v>
      </c>
      <c r="CF32" s="104">
        <v>0</v>
      </c>
      <c r="CG32" s="104">
        <v>0</v>
      </c>
      <c r="CH32" s="104">
        <v>0</v>
      </c>
      <c r="CI32" s="110">
        <v>0</v>
      </c>
      <c r="CJ32" s="110">
        <v>0</v>
      </c>
      <c r="CK32" s="110">
        <v>0</v>
      </c>
      <c r="CL32" s="110">
        <v>0</v>
      </c>
      <c r="CM32" s="110">
        <v>0</v>
      </c>
      <c r="CN32" s="107">
        <v>0</v>
      </c>
      <c r="CO32" s="107">
        <v>0</v>
      </c>
      <c r="CP32" s="107">
        <v>0</v>
      </c>
      <c r="CQ32" s="107">
        <v>0</v>
      </c>
      <c r="CR32" s="107">
        <v>0</v>
      </c>
      <c r="CS32" s="107">
        <v>0</v>
      </c>
      <c r="CT32" s="107">
        <v>0</v>
      </c>
      <c r="CU32" s="107">
        <v>0</v>
      </c>
      <c r="CV32" s="108">
        <f t="shared" si="26"/>
        <v>95813</v>
      </c>
    </row>
    <row r="33" spans="1:100" s="3" customFormat="1">
      <c r="A33" s="3" t="s">
        <v>25</v>
      </c>
      <c r="B33" s="103">
        <f t="shared" si="0"/>
        <v>1318799</v>
      </c>
      <c r="C33" s="104">
        <f t="shared" si="1"/>
        <v>0</v>
      </c>
      <c r="D33" s="104">
        <f t="shared" si="2"/>
        <v>4311701</v>
      </c>
      <c r="E33" s="104">
        <f t="shared" si="3"/>
        <v>6163610.0500000007</v>
      </c>
      <c r="F33" s="104">
        <f t="shared" si="4"/>
        <v>2921350.0531899994</v>
      </c>
      <c r="G33" s="104">
        <f t="shared" si="5"/>
        <v>3390735.2838427308</v>
      </c>
      <c r="H33" s="104">
        <f t="shared" si="6"/>
        <v>28170794.789397649</v>
      </c>
      <c r="I33" s="104">
        <f t="shared" si="7"/>
        <v>1980580.8699999996</v>
      </c>
      <c r="J33" s="104">
        <f t="shared" si="8"/>
        <v>1799578</v>
      </c>
      <c r="K33" s="104">
        <f t="shared" si="9"/>
        <v>1908248.846381946</v>
      </c>
      <c r="L33" s="104">
        <f t="shared" si="10"/>
        <v>3545099</v>
      </c>
      <c r="M33" s="104">
        <f t="shared" si="11"/>
        <v>1893971.5299999998</v>
      </c>
      <c r="N33" s="104">
        <f t="shared" si="12"/>
        <v>2026614.5282999999</v>
      </c>
      <c r="O33" s="104">
        <f t="shared" si="13"/>
        <v>1875272.04</v>
      </c>
      <c r="P33" s="104">
        <f t="shared" si="14"/>
        <v>1723334.3211547043</v>
      </c>
      <c r="Q33" s="104">
        <f t="shared" si="15"/>
        <v>1621847.8439999996</v>
      </c>
      <c r="R33" s="104">
        <f t="shared" si="16"/>
        <v>1587288.568</v>
      </c>
      <c r="S33" s="104">
        <f t="shared" si="17"/>
        <v>1624697.5939</v>
      </c>
      <c r="T33" s="104">
        <f t="shared" si="18"/>
        <v>1515343.2754869999</v>
      </c>
      <c r="U33" s="104">
        <f t="shared" si="19"/>
        <v>1442070.5772999995</v>
      </c>
      <c r="V33" s="104">
        <f t="shared" si="20"/>
        <v>13501812.409307092</v>
      </c>
      <c r="W33" s="104">
        <f t="shared" si="21"/>
        <v>53897</v>
      </c>
      <c r="X33" s="104">
        <f t="shared" si="22"/>
        <v>270983.47485722089</v>
      </c>
      <c r="Y33" s="105">
        <f t="shared" si="23"/>
        <v>84647630.055118352</v>
      </c>
      <c r="Z33" s="106"/>
      <c r="AA33" s="103">
        <v>901337.4460431654</v>
      </c>
      <c r="AB33" s="107">
        <v>0</v>
      </c>
      <c r="AC33" s="104">
        <v>2873515.3812949639</v>
      </c>
      <c r="AD33" s="104">
        <v>4502851.4384892089</v>
      </c>
      <c r="AE33" s="104">
        <v>2116298.2127557551</v>
      </c>
      <c r="AF33" s="104">
        <v>2317409.0069428734</v>
      </c>
      <c r="AG33" s="104">
        <v>19253420.89922861</v>
      </c>
      <c r="AH33" s="104">
        <v>1353634.4075539566</v>
      </c>
      <c r="AI33" s="104">
        <v>1285698.2014388489</v>
      </c>
      <c r="AJ33" s="104">
        <v>1344770.9611243044</v>
      </c>
      <c r="AK33" s="104">
        <v>2417531</v>
      </c>
      <c r="AL33" s="104">
        <v>1302035.6158927209</v>
      </c>
      <c r="AM33" s="104">
        <v>1391921.5060261816</v>
      </c>
      <c r="AN33" s="104">
        <v>1289256.1931070401</v>
      </c>
      <c r="AO33" s="104">
        <v>1187738.0566216442</v>
      </c>
      <c r="AP33" s="104">
        <v>1100967.687004294</v>
      </c>
      <c r="AQ33" s="104">
        <v>1065904.96127692</v>
      </c>
      <c r="AR33" s="104">
        <v>1103154.4694298459</v>
      </c>
      <c r="AS33" s="104">
        <v>1031953.539796181</v>
      </c>
      <c r="AT33" s="104">
        <v>979886.40451169724</v>
      </c>
      <c r="AU33" s="104">
        <v>9043771.8244363554</v>
      </c>
      <c r="AV33" s="104">
        <v>53897</v>
      </c>
      <c r="AW33" s="104">
        <v>270983.47485722089</v>
      </c>
      <c r="AX33" s="108">
        <f t="shared" si="24"/>
        <v>58187937.687831767</v>
      </c>
      <c r="AY33" s="106"/>
      <c r="AZ33" s="103">
        <v>417461.5539568346</v>
      </c>
      <c r="BA33" s="107">
        <v>0</v>
      </c>
      <c r="BB33" s="104">
        <v>1438185.6187050361</v>
      </c>
      <c r="BC33" s="104">
        <v>1660758.6115107916</v>
      </c>
      <c r="BD33" s="104">
        <v>805051.84043424448</v>
      </c>
      <c r="BE33" s="104">
        <v>1073326.2768998574</v>
      </c>
      <c r="BF33" s="104">
        <v>8917373.8901690412</v>
      </c>
      <c r="BG33" s="104">
        <v>626946.46244604315</v>
      </c>
      <c r="BH33" s="104">
        <v>513879.79856115114</v>
      </c>
      <c r="BI33" s="104">
        <v>563477.88525764144</v>
      </c>
      <c r="BJ33" s="104">
        <v>1127568</v>
      </c>
      <c r="BK33" s="104">
        <v>591935.91410727904</v>
      </c>
      <c r="BL33" s="104">
        <v>634693.02227381826</v>
      </c>
      <c r="BM33" s="104">
        <v>586015.8468929599</v>
      </c>
      <c r="BN33" s="104">
        <v>535596.26453306014</v>
      </c>
      <c r="BO33" s="107">
        <v>520880.15699570568</v>
      </c>
      <c r="BP33" s="107">
        <v>521383.60672307992</v>
      </c>
      <c r="BQ33" s="107">
        <v>521543.124470154</v>
      </c>
      <c r="BR33" s="107">
        <v>483389.73569081881</v>
      </c>
      <c r="BS33" s="107">
        <v>462184.17278830241</v>
      </c>
      <c r="BT33" s="104">
        <v>4458040.5848707361</v>
      </c>
      <c r="BU33" s="104">
        <v>0</v>
      </c>
      <c r="BV33" s="107">
        <v>0</v>
      </c>
      <c r="BW33" s="108">
        <f t="shared" si="25"/>
        <v>26459692.367286563</v>
      </c>
      <c r="BX33" s="106"/>
      <c r="BY33" s="109">
        <v>0</v>
      </c>
      <c r="BZ33" s="104">
        <v>0</v>
      </c>
      <c r="CA33" s="104">
        <v>0</v>
      </c>
      <c r="CB33" s="104">
        <v>0</v>
      </c>
      <c r="CC33" s="104">
        <v>0</v>
      </c>
      <c r="CD33" s="104">
        <v>0</v>
      </c>
      <c r="CE33" s="104">
        <v>0</v>
      </c>
      <c r="CF33" s="104">
        <v>0</v>
      </c>
      <c r="CG33" s="104">
        <v>0</v>
      </c>
      <c r="CH33" s="104">
        <v>0</v>
      </c>
      <c r="CI33" s="110">
        <v>0</v>
      </c>
      <c r="CJ33" s="110">
        <v>0</v>
      </c>
      <c r="CK33" s="110">
        <v>0</v>
      </c>
      <c r="CL33" s="110">
        <v>0</v>
      </c>
      <c r="CM33" s="110">
        <v>0</v>
      </c>
      <c r="CN33" s="107">
        <v>0</v>
      </c>
      <c r="CO33" s="107">
        <v>0</v>
      </c>
      <c r="CP33" s="107">
        <v>0</v>
      </c>
      <c r="CQ33" s="107">
        <v>0</v>
      </c>
      <c r="CR33" s="107">
        <v>0</v>
      </c>
      <c r="CS33" s="107">
        <v>0</v>
      </c>
      <c r="CT33" s="107">
        <v>0</v>
      </c>
      <c r="CU33" s="107">
        <v>0</v>
      </c>
      <c r="CV33" s="108">
        <f t="shared" si="26"/>
        <v>0</v>
      </c>
    </row>
    <row r="34" spans="1:100" s="3" customFormat="1">
      <c r="A34" s="3" t="s">
        <v>26</v>
      </c>
      <c r="B34" s="103">
        <f t="shared" si="0"/>
        <v>210004</v>
      </c>
      <c r="C34" s="104">
        <f t="shared" si="1"/>
        <v>0</v>
      </c>
      <c r="D34" s="104">
        <f t="shared" si="2"/>
        <v>668346</v>
      </c>
      <c r="E34" s="104">
        <f t="shared" si="3"/>
        <v>375009.61</v>
      </c>
      <c r="F34" s="104">
        <f t="shared" si="4"/>
        <v>219467.52452000009</v>
      </c>
      <c r="G34" s="104">
        <f t="shared" si="5"/>
        <v>201140.11469219538</v>
      </c>
      <c r="H34" s="104">
        <f t="shared" si="6"/>
        <v>2298696.4635361033</v>
      </c>
      <c r="I34" s="104">
        <f t="shared" si="7"/>
        <v>265065.57999999996</v>
      </c>
      <c r="J34" s="104">
        <f t="shared" si="8"/>
        <v>95654</v>
      </c>
      <c r="K34" s="104">
        <f t="shared" si="9"/>
        <v>171834.16921709513</v>
      </c>
      <c r="L34" s="104">
        <f t="shared" si="10"/>
        <v>321318</v>
      </c>
      <c r="M34" s="104">
        <f t="shared" si="11"/>
        <v>172417.71000000002</v>
      </c>
      <c r="N34" s="104">
        <f t="shared" si="12"/>
        <v>172772.98249999998</v>
      </c>
      <c r="O34" s="104">
        <f t="shared" si="13"/>
        <v>167068.96</v>
      </c>
      <c r="P34" s="104">
        <f t="shared" si="14"/>
        <v>153429.29537498622</v>
      </c>
      <c r="Q34" s="104">
        <f t="shared" si="15"/>
        <v>149142.69</v>
      </c>
      <c r="R34" s="104">
        <f t="shared" si="16"/>
        <v>191196.32</v>
      </c>
      <c r="S34" s="104">
        <f t="shared" si="17"/>
        <v>145452.99249999999</v>
      </c>
      <c r="T34" s="104">
        <f t="shared" si="18"/>
        <v>134590.43002500001</v>
      </c>
      <c r="U34" s="104">
        <f t="shared" si="19"/>
        <v>128762.3775</v>
      </c>
      <c r="V34" s="104">
        <f t="shared" si="20"/>
        <v>1176512.4086432431</v>
      </c>
      <c r="W34" s="104">
        <f t="shared" si="21"/>
        <v>7193</v>
      </c>
      <c r="X34" s="104">
        <f t="shared" si="22"/>
        <v>36164.983851568548</v>
      </c>
      <c r="Y34" s="105">
        <f t="shared" si="23"/>
        <v>7461239.6123601915</v>
      </c>
      <c r="Z34" s="106"/>
      <c r="AA34" s="103">
        <v>96251.833333333328</v>
      </c>
      <c r="AB34" s="107">
        <v>0</v>
      </c>
      <c r="AC34" s="104">
        <v>304427.375</v>
      </c>
      <c r="AD34" s="104">
        <v>223959.11</v>
      </c>
      <c r="AE34" s="104">
        <v>170409.34082166673</v>
      </c>
      <c r="AF34" s="104">
        <v>92189.219233922893</v>
      </c>
      <c r="AG34" s="104">
        <v>1053569.2124540473</v>
      </c>
      <c r="AH34" s="104">
        <v>121488.39083333332</v>
      </c>
      <c r="AI34" s="104">
        <v>57870.041666666664</v>
      </c>
      <c r="AJ34" s="104">
        <v>88746.82617860043</v>
      </c>
      <c r="AK34" s="104">
        <v>155376</v>
      </c>
      <c r="AL34" s="104">
        <v>88316.03862344427</v>
      </c>
      <c r="AM34" s="104">
        <v>82602.573486319903</v>
      </c>
      <c r="AN34" s="104">
        <v>83741.981475482491</v>
      </c>
      <c r="AO34" s="104">
        <v>77023.201831738406</v>
      </c>
      <c r="AP34" s="104">
        <v>75170.203893133657</v>
      </c>
      <c r="AQ34" s="104">
        <v>117131.03413742868</v>
      </c>
      <c r="AR34" s="104">
        <v>71346.767397881718</v>
      </c>
      <c r="AS34" s="104">
        <v>65914.051920671191</v>
      </c>
      <c r="AT34" s="104">
        <v>63097.152741082282</v>
      </c>
      <c r="AU34" s="104">
        <v>543146.82468153874</v>
      </c>
      <c r="AV34" s="104">
        <v>7193</v>
      </c>
      <c r="AW34" s="104">
        <v>36164.983851568548</v>
      </c>
      <c r="AX34" s="108">
        <f t="shared" si="24"/>
        <v>3675135.163561861</v>
      </c>
      <c r="AY34" s="106"/>
      <c r="AZ34" s="103">
        <v>113752.16666666666</v>
      </c>
      <c r="BA34" s="107">
        <v>0</v>
      </c>
      <c r="BB34" s="104">
        <v>363918.625</v>
      </c>
      <c r="BC34" s="104">
        <v>151050.5</v>
      </c>
      <c r="BD34" s="104">
        <v>49058.183698333378</v>
      </c>
      <c r="BE34" s="104">
        <v>108950.8954582725</v>
      </c>
      <c r="BF34" s="104">
        <v>1245127.251082056</v>
      </c>
      <c r="BG34" s="104">
        <v>143577.18916666665</v>
      </c>
      <c r="BH34" s="104">
        <v>37783.958333333328</v>
      </c>
      <c r="BI34" s="104">
        <v>83087.343038494684</v>
      </c>
      <c r="BJ34" s="104">
        <v>165942</v>
      </c>
      <c r="BK34" s="104">
        <v>84101.671376555736</v>
      </c>
      <c r="BL34" s="104">
        <v>90170.409013680095</v>
      </c>
      <c r="BM34" s="104">
        <v>83326.978524517501</v>
      </c>
      <c r="BN34" s="104">
        <v>76406.093543247815</v>
      </c>
      <c r="BO34" s="107">
        <v>73972.486106866345</v>
      </c>
      <c r="BP34" s="107">
        <v>74065.285862571342</v>
      </c>
      <c r="BQ34" s="107">
        <v>74106.225102118275</v>
      </c>
      <c r="BR34" s="107">
        <v>68676.378104328818</v>
      </c>
      <c r="BS34" s="107">
        <v>65665.224758917728</v>
      </c>
      <c r="BT34" s="104">
        <v>633365.5839617044</v>
      </c>
      <c r="BU34" s="104">
        <v>0</v>
      </c>
      <c r="BV34" s="107">
        <v>0</v>
      </c>
      <c r="BW34" s="108">
        <f t="shared" si="25"/>
        <v>3786104.4487983319</v>
      </c>
      <c r="BX34" s="106"/>
      <c r="BY34" s="109">
        <v>0</v>
      </c>
      <c r="BZ34" s="104">
        <v>0</v>
      </c>
      <c r="CA34" s="104">
        <v>0</v>
      </c>
      <c r="CB34" s="104">
        <v>0</v>
      </c>
      <c r="CC34" s="104">
        <v>0</v>
      </c>
      <c r="CD34" s="104">
        <v>0</v>
      </c>
      <c r="CE34" s="104">
        <v>0</v>
      </c>
      <c r="CF34" s="104">
        <v>0</v>
      </c>
      <c r="CG34" s="104">
        <v>0</v>
      </c>
      <c r="CH34" s="104">
        <v>0</v>
      </c>
      <c r="CI34" s="110">
        <v>0</v>
      </c>
      <c r="CJ34" s="110">
        <v>0</v>
      </c>
      <c r="CK34" s="110">
        <v>0</v>
      </c>
      <c r="CL34" s="110">
        <v>0</v>
      </c>
      <c r="CM34" s="110">
        <v>0</v>
      </c>
      <c r="CN34" s="107">
        <v>0</v>
      </c>
      <c r="CO34" s="107">
        <v>0</v>
      </c>
      <c r="CP34" s="107">
        <v>0</v>
      </c>
      <c r="CQ34" s="107">
        <v>0</v>
      </c>
      <c r="CR34" s="107">
        <v>0</v>
      </c>
      <c r="CS34" s="107">
        <v>0</v>
      </c>
      <c r="CT34" s="107">
        <v>0</v>
      </c>
      <c r="CU34" s="107">
        <v>0</v>
      </c>
      <c r="CV34" s="108">
        <f t="shared" si="26"/>
        <v>0</v>
      </c>
    </row>
    <row r="35" spans="1:100" s="3" customFormat="1">
      <c r="A35" s="3" t="s">
        <v>27</v>
      </c>
      <c r="B35" s="103">
        <f t="shared" si="0"/>
        <v>539756</v>
      </c>
      <c r="C35" s="104">
        <f t="shared" si="1"/>
        <v>0</v>
      </c>
      <c r="D35" s="104">
        <f t="shared" si="2"/>
        <v>673673</v>
      </c>
      <c r="E35" s="104">
        <f t="shared" si="3"/>
        <v>1396173.59</v>
      </c>
      <c r="F35" s="104">
        <f t="shared" si="4"/>
        <v>546403.49819499988</v>
      </c>
      <c r="G35" s="104">
        <f t="shared" si="5"/>
        <v>757162.03396534617</v>
      </c>
      <c r="H35" s="104">
        <f t="shared" si="6"/>
        <v>6071818.6981526008</v>
      </c>
      <c r="I35" s="104">
        <f t="shared" si="7"/>
        <v>500795.54000000004</v>
      </c>
      <c r="J35" s="104">
        <f t="shared" si="8"/>
        <v>323060</v>
      </c>
      <c r="K35" s="104">
        <f t="shared" si="9"/>
        <v>416316.41225092422</v>
      </c>
      <c r="L35" s="104">
        <f t="shared" si="10"/>
        <v>343833</v>
      </c>
      <c r="M35" s="104">
        <f t="shared" si="11"/>
        <v>387563.95999999996</v>
      </c>
      <c r="N35" s="104">
        <f t="shared" si="12"/>
        <v>422630.32309999998</v>
      </c>
      <c r="O35" s="104">
        <f t="shared" si="13"/>
        <v>393621.07999999996</v>
      </c>
      <c r="P35" s="104">
        <f t="shared" si="14"/>
        <v>357557.92988324817</v>
      </c>
      <c r="Q35" s="104">
        <f t="shared" si="15"/>
        <v>339209.95799999998</v>
      </c>
      <c r="R35" s="104">
        <f t="shared" si="16"/>
        <v>333298.80599999998</v>
      </c>
      <c r="S35" s="104">
        <f t="shared" si="17"/>
        <v>335716.74229999998</v>
      </c>
      <c r="T35" s="104">
        <f t="shared" si="18"/>
        <v>305624.80645899998</v>
      </c>
      <c r="U35" s="104">
        <f t="shared" si="19"/>
        <v>295845.84609999997</v>
      </c>
      <c r="V35" s="104">
        <f t="shared" si="20"/>
        <v>2774113.0149434153</v>
      </c>
      <c r="W35" s="104">
        <f t="shared" si="21"/>
        <v>7737</v>
      </c>
      <c r="X35" s="104">
        <f t="shared" si="22"/>
        <v>38900.108447043764</v>
      </c>
      <c r="Y35" s="105">
        <f t="shared" si="23"/>
        <v>17560811.347796582</v>
      </c>
      <c r="Z35" s="106"/>
      <c r="AA35" s="103">
        <v>311045.83050847461</v>
      </c>
      <c r="AB35" s="107">
        <v>0</v>
      </c>
      <c r="AC35" s="104">
        <v>361572.27118644072</v>
      </c>
      <c r="AD35" s="104">
        <v>954347.35271186451</v>
      </c>
      <c r="AE35" s="104">
        <v>422663.77862084744</v>
      </c>
      <c r="AF35" s="104">
        <v>436330.66364104697</v>
      </c>
      <c r="AG35" s="104">
        <v>3499014.1650370918</v>
      </c>
      <c r="AH35" s="104">
        <v>288594.04000000004</v>
      </c>
      <c r="AI35" s="104">
        <v>212654.9152542373</v>
      </c>
      <c r="AJ35" s="104">
        <v>256671.41059664849</v>
      </c>
      <c r="AK35" s="104">
        <v>211155</v>
      </c>
      <c r="AL35" s="104">
        <v>233227.67089931399</v>
      </c>
      <c r="AM35" s="104">
        <v>257167.61831282906</v>
      </c>
      <c r="AN35" s="104">
        <v>240793.51475878418</v>
      </c>
      <c r="AO35" s="104">
        <v>219302.76252611008</v>
      </c>
      <c r="AP35" s="104">
        <v>203462.43770496093</v>
      </c>
      <c r="AQ35" s="104">
        <v>197398.31229874361</v>
      </c>
      <c r="AR35" s="104">
        <v>199723.34199535352</v>
      </c>
      <c r="AS35" s="104">
        <v>179597.11859249754</v>
      </c>
      <c r="AT35" s="104">
        <v>175343.6833990562</v>
      </c>
      <c r="AU35" s="104">
        <v>1611817.8067209974</v>
      </c>
      <c r="AV35" s="104">
        <v>7737</v>
      </c>
      <c r="AW35" s="104">
        <v>38900.108447043764</v>
      </c>
      <c r="AX35" s="108">
        <f t="shared" si="24"/>
        <v>10518520.803212343</v>
      </c>
      <c r="AY35" s="106"/>
      <c r="AZ35" s="103">
        <v>228710.16949152545</v>
      </c>
      <c r="BA35" s="107">
        <v>0</v>
      </c>
      <c r="BB35" s="104">
        <v>312100.72881355934</v>
      </c>
      <c r="BC35" s="104">
        <v>441826.23728813563</v>
      </c>
      <c r="BD35" s="104">
        <v>123739.71957415246</v>
      </c>
      <c r="BE35" s="104">
        <v>320831.37032429926</v>
      </c>
      <c r="BF35" s="104">
        <v>2572804.533115509</v>
      </c>
      <c r="BG35" s="104">
        <v>212201.50000000003</v>
      </c>
      <c r="BH35" s="104">
        <v>110405.08474576272</v>
      </c>
      <c r="BI35" s="104">
        <v>159645.00165427572</v>
      </c>
      <c r="BJ35" s="104">
        <v>132678</v>
      </c>
      <c r="BK35" s="104">
        <v>154336.28910068597</v>
      </c>
      <c r="BL35" s="104">
        <v>165462.70478717092</v>
      </c>
      <c r="BM35" s="104">
        <v>152827.56524121578</v>
      </c>
      <c r="BN35" s="104">
        <v>138255.16735713813</v>
      </c>
      <c r="BO35" s="107">
        <v>135747.52029503905</v>
      </c>
      <c r="BP35" s="107">
        <v>135900.49370125635</v>
      </c>
      <c r="BQ35" s="107">
        <v>135993.40030464646</v>
      </c>
      <c r="BR35" s="107">
        <v>126027.68786650243</v>
      </c>
      <c r="BS35" s="107">
        <v>120502.16270094375</v>
      </c>
      <c r="BT35" s="104">
        <v>1162295.2082224179</v>
      </c>
      <c r="BU35" s="104">
        <v>0</v>
      </c>
      <c r="BV35" s="107">
        <v>0</v>
      </c>
      <c r="BW35" s="108">
        <f t="shared" si="25"/>
        <v>7042290.5445842361</v>
      </c>
      <c r="BX35" s="106"/>
      <c r="BY35" s="109">
        <v>0</v>
      </c>
      <c r="BZ35" s="104">
        <v>0</v>
      </c>
      <c r="CA35" s="104">
        <v>0</v>
      </c>
      <c r="CB35" s="104">
        <v>0</v>
      </c>
      <c r="CC35" s="104">
        <v>0</v>
      </c>
      <c r="CD35" s="104">
        <v>0</v>
      </c>
      <c r="CE35" s="104">
        <v>0</v>
      </c>
      <c r="CF35" s="104">
        <v>0</v>
      </c>
      <c r="CG35" s="104">
        <v>0</v>
      </c>
      <c r="CH35" s="104">
        <v>0</v>
      </c>
      <c r="CI35" s="110">
        <v>0</v>
      </c>
      <c r="CJ35" s="110">
        <v>0</v>
      </c>
      <c r="CK35" s="110">
        <v>0</v>
      </c>
      <c r="CL35" s="110">
        <v>0</v>
      </c>
      <c r="CM35" s="110">
        <v>0</v>
      </c>
      <c r="CN35" s="107">
        <v>0</v>
      </c>
      <c r="CO35" s="107">
        <v>0</v>
      </c>
      <c r="CP35" s="107">
        <v>0</v>
      </c>
      <c r="CQ35" s="107">
        <v>0</v>
      </c>
      <c r="CR35" s="107">
        <v>0</v>
      </c>
      <c r="CS35" s="107">
        <v>0</v>
      </c>
      <c r="CT35" s="107">
        <v>0</v>
      </c>
      <c r="CU35" s="107">
        <v>0</v>
      </c>
      <c r="CV35" s="108">
        <f t="shared" si="26"/>
        <v>0</v>
      </c>
    </row>
    <row r="36" spans="1:100" s="3" customFormat="1">
      <c r="A36" s="3" t="s">
        <v>28</v>
      </c>
      <c r="B36" s="103">
        <f t="shared" si="0"/>
        <v>534137</v>
      </c>
      <c r="C36" s="104">
        <f t="shared" si="1"/>
        <v>0</v>
      </c>
      <c r="D36" s="104">
        <f t="shared" si="2"/>
        <v>883611</v>
      </c>
      <c r="E36" s="104">
        <f t="shared" si="3"/>
        <v>1703672.6800000002</v>
      </c>
      <c r="F36" s="104">
        <f t="shared" si="4"/>
        <v>513203.00000000006</v>
      </c>
      <c r="G36" s="104">
        <f t="shared" si="5"/>
        <v>730350.99226001464</v>
      </c>
      <c r="H36" s="104">
        <f t="shared" si="6"/>
        <v>7013276</v>
      </c>
      <c r="I36" s="104">
        <f t="shared" si="7"/>
        <v>471458.48</v>
      </c>
      <c r="J36" s="104">
        <f t="shared" si="8"/>
        <v>431933.00000000006</v>
      </c>
      <c r="K36" s="104">
        <f t="shared" si="9"/>
        <v>462930.29792877415</v>
      </c>
      <c r="L36" s="104">
        <f t="shared" si="10"/>
        <v>434891</v>
      </c>
      <c r="M36" s="104">
        <f t="shared" si="11"/>
        <v>428095.86</v>
      </c>
      <c r="N36" s="104">
        <f t="shared" si="12"/>
        <v>470928.02209999994</v>
      </c>
      <c r="O36" s="104">
        <f t="shared" si="13"/>
        <v>429443.8</v>
      </c>
      <c r="P36" s="104">
        <f t="shared" si="14"/>
        <v>394844.85414901352</v>
      </c>
      <c r="Q36" s="104">
        <f t="shared" si="15"/>
        <v>384098.30800000002</v>
      </c>
      <c r="R36" s="104">
        <f t="shared" si="16"/>
        <v>392737.38600000006</v>
      </c>
      <c r="S36" s="104">
        <f t="shared" si="17"/>
        <v>379623.13929999998</v>
      </c>
      <c r="T36" s="104">
        <f t="shared" si="18"/>
        <v>352267.97246899997</v>
      </c>
      <c r="U36" s="104">
        <f t="shared" si="19"/>
        <v>336585.39509999997</v>
      </c>
      <c r="V36" s="104">
        <f t="shared" si="20"/>
        <v>3233887.7688140194</v>
      </c>
      <c r="W36" s="104">
        <f t="shared" si="21"/>
        <v>1702</v>
      </c>
      <c r="X36" s="104">
        <f t="shared" si="22"/>
        <v>8557.3199659905004</v>
      </c>
      <c r="Y36" s="105">
        <f t="shared" si="23"/>
        <v>19992235.276086815</v>
      </c>
      <c r="Z36" s="106"/>
      <c r="AA36" s="103">
        <v>340609.10144927539</v>
      </c>
      <c r="AB36" s="107">
        <v>0</v>
      </c>
      <c r="AC36" s="104">
        <v>532547.20289855078</v>
      </c>
      <c r="AD36" s="104">
        <v>1067318.1727536232</v>
      </c>
      <c r="AE36" s="104">
        <v>327259.88405797107</v>
      </c>
      <c r="AF36" s="104">
        <v>465731.06752812531</v>
      </c>
      <c r="AG36" s="104">
        <v>4472233.9710144931</v>
      </c>
      <c r="AH36" s="104">
        <v>300640.19014492753</v>
      </c>
      <c r="AI36" s="104">
        <v>286076.11594202905</v>
      </c>
      <c r="AJ36" s="104">
        <v>303140.86877791525</v>
      </c>
      <c r="AK36" s="104">
        <v>279435</v>
      </c>
      <c r="AL36" s="104">
        <v>266977.56717560429</v>
      </c>
      <c r="AM36" s="104">
        <v>298175.34001706628</v>
      </c>
      <c r="AN36" s="104">
        <v>269880.14132307813</v>
      </c>
      <c r="AO36" s="104">
        <v>249584.31261701207</v>
      </c>
      <c r="AP36" s="104">
        <v>242301.13451305052</v>
      </c>
      <c r="AQ36" s="104">
        <v>250803.02021875602</v>
      </c>
      <c r="AR36" s="104">
        <v>237663.46391361076</v>
      </c>
      <c r="AS36" s="104">
        <v>220680.99792027046</v>
      </c>
      <c r="AT36" s="104">
        <v>210764.25932784501</v>
      </c>
      <c r="AU36" s="104">
        <v>2020293.3157227179</v>
      </c>
      <c r="AV36" s="104">
        <v>1702</v>
      </c>
      <c r="AW36" s="104">
        <v>8557.3199659905004</v>
      </c>
      <c r="AX36" s="108">
        <f t="shared" si="24"/>
        <v>12652374.44728191</v>
      </c>
      <c r="AY36" s="106"/>
      <c r="AZ36" s="103">
        <v>193527.89855072464</v>
      </c>
      <c r="BA36" s="107">
        <v>0</v>
      </c>
      <c r="BB36" s="104">
        <v>351063.79710144928</v>
      </c>
      <c r="BC36" s="104">
        <v>636354.50724637683</v>
      </c>
      <c r="BD36" s="104">
        <v>185943.11594202899</v>
      </c>
      <c r="BE36" s="104">
        <v>264619.92473188933</v>
      </c>
      <c r="BF36" s="104">
        <v>2541042.0289855073</v>
      </c>
      <c r="BG36" s="104">
        <v>170818.28985507248</v>
      </c>
      <c r="BH36" s="104">
        <v>145856.88405797101</v>
      </c>
      <c r="BI36" s="104">
        <v>159789.42915085892</v>
      </c>
      <c r="BJ36" s="104">
        <v>155456</v>
      </c>
      <c r="BK36" s="104">
        <v>161118.2928243957</v>
      </c>
      <c r="BL36" s="104">
        <v>172752.68208293366</v>
      </c>
      <c r="BM36" s="104">
        <v>159563.65867692186</v>
      </c>
      <c r="BN36" s="104">
        <v>145260.54153200146</v>
      </c>
      <c r="BO36" s="107">
        <v>141797.1734869495</v>
      </c>
      <c r="BP36" s="107">
        <v>141934.36578124401</v>
      </c>
      <c r="BQ36" s="107">
        <v>141959.67538638922</v>
      </c>
      <c r="BR36" s="107">
        <v>131586.97454872951</v>
      </c>
      <c r="BS36" s="107">
        <v>125821.13577215497</v>
      </c>
      <c r="BT36" s="104">
        <v>1213594.4530913015</v>
      </c>
      <c r="BU36" s="104">
        <v>0</v>
      </c>
      <c r="BV36" s="107">
        <v>0</v>
      </c>
      <c r="BW36" s="108">
        <f t="shared" si="25"/>
        <v>7339860.828804899</v>
      </c>
      <c r="BX36" s="106"/>
      <c r="BY36" s="109">
        <v>0</v>
      </c>
      <c r="BZ36" s="104">
        <v>0</v>
      </c>
      <c r="CA36" s="104">
        <v>0</v>
      </c>
      <c r="CB36" s="104">
        <v>0</v>
      </c>
      <c r="CC36" s="104">
        <v>0</v>
      </c>
      <c r="CD36" s="104">
        <v>0</v>
      </c>
      <c r="CE36" s="104">
        <v>0</v>
      </c>
      <c r="CF36" s="104">
        <v>0</v>
      </c>
      <c r="CG36" s="104">
        <v>0</v>
      </c>
      <c r="CH36" s="104">
        <v>0</v>
      </c>
      <c r="CI36" s="110">
        <v>0</v>
      </c>
      <c r="CJ36" s="110">
        <v>0</v>
      </c>
      <c r="CK36" s="110">
        <v>0</v>
      </c>
      <c r="CL36" s="110">
        <v>0</v>
      </c>
      <c r="CM36" s="110">
        <v>0</v>
      </c>
      <c r="CN36" s="107">
        <v>0</v>
      </c>
      <c r="CO36" s="107">
        <v>0</v>
      </c>
      <c r="CP36" s="107">
        <v>0</v>
      </c>
      <c r="CQ36" s="107">
        <v>0</v>
      </c>
      <c r="CR36" s="107">
        <v>0</v>
      </c>
      <c r="CS36" s="107">
        <v>0</v>
      </c>
      <c r="CT36" s="107">
        <v>0</v>
      </c>
      <c r="CU36" s="107">
        <v>0</v>
      </c>
      <c r="CV36" s="108">
        <f t="shared" si="26"/>
        <v>0</v>
      </c>
    </row>
    <row r="37" spans="1:100" s="3" customFormat="1">
      <c r="A37" s="3" t="s">
        <v>29</v>
      </c>
      <c r="B37" s="103">
        <f t="shared" si="0"/>
        <v>0</v>
      </c>
      <c r="C37" s="104">
        <f t="shared" si="1"/>
        <v>0</v>
      </c>
      <c r="D37" s="104">
        <f t="shared" si="2"/>
        <v>0</v>
      </c>
      <c r="E37" s="104">
        <f t="shared" si="3"/>
        <v>0</v>
      </c>
      <c r="F37" s="104">
        <f t="shared" si="4"/>
        <v>0</v>
      </c>
      <c r="G37" s="104">
        <f t="shared" si="5"/>
        <v>0</v>
      </c>
      <c r="H37" s="104">
        <f t="shared" si="6"/>
        <v>0</v>
      </c>
      <c r="I37" s="104">
        <f t="shared" si="7"/>
        <v>0</v>
      </c>
      <c r="J37" s="104">
        <f t="shared" si="8"/>
        <v>0</v>
      </c>
      <c r="K37" s="104">
        <f t="shared" si="9"/>
        <v>0</v>
      </c>
      <c r="L37" s="104">
        <f t="shared" si="10"/>
        <v>0</v>
      </c>
      <c r="M37" s="104">
        <f t="shared" si="11"/>
        <v>0</v>
      </c>
      <c r="N37" s="104">
        <f t="shared" si="12"/>
        <v>0</v>
      </c>
      <c r="O37" s="104">
        <f t="shared" si="13"/>
        <v>0</v>
      </c>
      <c r="P37" s="104">
        <f t="shared" si="14"/>
        <v>0</v>
      </c>
      <c r="Q37" s="104">
        <f t="shared" si="15"/>
        <v>0</v>
      </c>
      <c r="R37" s="104">
        <f t="shared" si="16"/>
        <v>0</v>
      </c>
      <c r="S37" s="104">
        <f t="shared" si="17"/>
        <v>0</v>
      </c>
      <c r="T37" s="104">
        <f t="shared" si="18"/>
        <v>0</v>
      </c>
      <c r="U37" s="104">
        <f t="shared" si="19"/>
        <v>0</v>
      </c>
      <c r="V37" s="104">
        <f t="shared" si="20"/>
        <v>0</v>
      </c>
      <c r="W37" s="104">
        <f t="shared" si="21"/>
        <v>0</v>
      </c>
      <c r="X37" s="104">
        <f t="shared" si="22"/>
        <v>0</v>
      </c>
      <c r="Y37" s="105">
        <f t="shared" si="23"/>
        <v>0</v>
      </c>
      <c r="Z37" s="106"/>
      <c r="AA37" s="103">
        <v>0</v>
      </c>
      <c r="AB37" s="107">
        <v>0</v>
      </c>
      <c r="AC37" s="104">
        <v>0</v>
      </c>
      <c r="AD37" s="104">
        <v>0</v>
      </c>
      <c r="AE37" s="104">
        <v>0</v>
      </c>
      <c r="AF37" s="104">
        <v>0</v>
      </c>
      <c r="AG37" s="104">
        <v>0</v>
      </c>
      <c r="AH37" s="104">
        <v>0</v>
      </c>
      <c r="AI37" s="104">
        <v>0</v>
      </c>
      <c r="AJ37" s="104">
        <v>0</v>
      </c>
      <c r="AK37" s="104">
        <v>0</v>
      </c>
      <c r="AL37" s="104">
        <v>0</v>
      </c>
      <c r="AM37" s="104">
        <v>0</v>
      </c>
      <c r="AN37" s="104">
        <v>0</v>
      </c>
      <c r="AO37" s="104">
        <v>0</v>
      </c>
      <c r="AP37" s="104">
        <v>0</v>
      </c>
      <c r="AQ37" s="104">
        <v>0</v>
      </c>
      <c r="AR37" s="104">
        <v>0</v>
      </c>
      <c r="AS37" s="104">
        <v>0</v>
      </c>
      <c r="AT37" s="104">
        <v>0</v>
      </c>
      <c r="AU37" s="104">
        <v>0</v>
      </c>
      <c r="AV37" s="104">
        <v>0</v>
      </c>
      <c r="AW37" s="104">
        <v>0</v>
      </c>
      <c r="AX37" s="108">
        <f t="shared" si="24"/>
        <v>0</v>
      </c>
      <c r="AY37" s="106"/>
      <c r="AZ37" s="103">
        <v>0</v>
      </c>
      <c r="BA37" s="107">
        <v>0</v>
      </c>
      <c r="BB37" s="104">
        <v>0</v>
      </c>
      <c r="BC37" s="104">
        <v>0</v>
      </c>
      <c r="BD37" s="104">
        <v>0</v>
      </c>
      <c r="BE37" s="104">
        <v>0</v>
      </c>
      <c r="BF37" s="104">
        <v>0</v>
      </c>
      <c r="BG37" s="104">
        <v>0</v>
      </c>
      <c r="BH37" s="104">
        <v>0</v>
      </c>
      <c r="BI37" s="104">
        <v>0</v>
      </c>
      <c r="BJ37" s="104">
        <v>0</v>
      </c>
      <c r="BK37" s="104">
        <v>0</v>
      </c>
      <c r="BL37" s="104">
        <v>0</v>
      </c>
      <c r="BM37" s="104">
        <v>0</v>
      </c>
      <c r="BN37" s="104">
        <v>0</v>
      </c>
      <c r="BO37" s="107">
        <v>0</v>
      </c>
      <c r="BP37" s="107">
        <v>0</v>
      </c>
      <c r="BQ37" s="107">
        <v>0</v>
      </c>
      <c r="BR37" s="107">
        <v>0</v>
      </c>
      <c r="BS37" s="107">
        <v>0</v>
      </c>
      <c r="BT37" s="104">
        <v>0</v>
      </c>
      <c r="BU37" s="104">
        <v>0</v>
      </c>
      <c r="BV37" s="107">
        <v>0</v>
      </c>
      <c r="BW37" s="108">
        <f t="shared" si="25"/>
        <v>0</v>
      </c>
      <c r="BX37" s="106"/>
      <c r="BY37" s="103">
        <v>0</v>
      </c>
      <c r="BZ37" s="104">
        <v>0</v>
      </c>
      <c r="CA37" s="104">
        <v>0</v>
      </c>
      <c r="CB37" s="104">
        <v>0</v>
      </c>
      <c r="CC37" s="104">
        <v>0</v>
      </c>
      <c r="CD37" s="104">
        <v>0</v>
      </c>
      <c r="CE37" s="104">
        <v>0</v>
      </c>
      <c r="CF37" s="104">
        <v>0</v>
      </c>
      <c r="CG37" s="104">
        <v>0</v>
      </c>
      <c r="CH37" s="104">
        <v>0</v>
      </c>
      <c r="CI37" s="104">
        <v>0</v>
      </c>
      <c r="CJ37" s="104">
        <v>0</v>
      </c>
      <c r="CK37" s="104">
        <v>0</v>
      </c>
      <c r="CL37" s="104">
        <v>0</v>
      </c>
      <c r="CM37" s="104">
        <v>0</v>
      </c>
      <c r="CN37" s="107">
        <v>0</v>
      </c>
      <c r="CO37" s="107">
        <v>0</v>
      </c>
      <c r="CP37" s="107">
        <v>0</v>
      </c>
      <c r="CQ37" s="107">
        <v>0</v>
      </c>
      <c r="CR37" s="107">
        <v>0</v>
      </c>
      <c r="CS37" s="107">
        <v>0</v>
      </c>
      <c r="CT37" s="107">
        <v>0</v>
      </c>
      <c r="CU37" s="107">
        <v>0</v>
      </c>
      <c r="CV37" s="108">
        <f t="shared" si="26"/>
        <v>0</v>
      </c>
    </row>
    <row r="38" spans="1:100" s="3" customFormat="1">
      <c r="A38" s="3" t="s">
        <v>30</v>
      </c>
      <c r="B38" s="103">
        <f t="shared" si="0"/>
        <v>3528481</v>
      </c>
      <c r="C38" s="104">
        <f t="shared" si="1"/>
        <v>0</v>
      </c>
      <c r="D38" s="104">
        <f t="shared" si="2"/>
        <v>2356087</v>
      </c>
      <c r="E38" s="104">
        <f t="shared" si="3"/>
        <v>4321043.53</v>
      </c>
      <c r="F38" s="104">
        <f t="shared" si="4"/>
        <v>2381529.5481449999</v>
      </c>
      <c r="G38" s="104">
        <f t="shared" si="5"/>
        <v>2988138.5442685294</v>
      </c>
      <c r="H38" s="104">
        <f t="shared" si="6"/>
        <v>26187865.18234802</v>
      </c>
      <c r="I38" s="104">
        <f t="shared" si="7"/>
        <v>1751943.3800000001</v>
      </c>
      <c r="J38" s="104">
        <f t="shared" si="8"/>
        <v>1625860</v>
      </c>
      <c r="K38" s="104">
        <f t="shared" si="9"/>
        <v>1738268.2233835272</v>
      </c>
      <c r="L38" s="104">
        <f t="shared" si="10"/>
        <v>1616700</v>
      </c>
      <c r="M38" s="104">
        <f t="shared" si="11"/>
        <v>1677796.42</v>
      </c>
      <c r="N38" s="104">
        <f t="shared" si="12"/>
        <v>1790067.9640999995</v>
      </c>
      <c r="O38" s="104">
        <f t="shared" si="13"/>
        <v>1655268.8599999999</v>
      </c>
      <c r="P38" s="104">
        <f t="shared" si="14"/>
        <v>1531021.4597874891</v>
      </c>
      <c r="Q38" s="104">
        <f t="shared" si="15"/>
        <v>1497217.0379999999</v>
      </c>
      <c r="R38" s="104">
        <f t="shared" si="16"/>
        <v>1366055.216</v>
      </c>
      <c r="S38" s="104">
        <f t="shared" si="17"/>
        <v>1383515.2852999999</v>
      </c>
      <c r="T38" s="104">
        <f t="shared" si="18"/>
        <v>1339711.0306489998</v>
      </c>
      <c r="U38" s="104">
        <f t="shared" si="19"/>
        <v>1256933.2870999998</v>
      </c>
      <c r="V38" s="104">
        <f t="shared" si="20"/>
        <v>1177654.5244</v>
      </c>
      <c r="W38" s="104">
        <f t="shared" si="21"/>
        <v>11318664</v>
      </c>
      <c r="X38" s="104">
        <f t="shared" si="22"/>
        <v>215773.17488863002</v>
      </c>
      <c r="Y38" s="105">
        <f t="shared" si="23"/>
        <v>74705594.668370202</v>
      </c>
      <c r="Z38" s="106"/>
      <c r="AA38" s="103">
        <v>906918.81124498008</v>
      </c>
      <c r="AB38" s="107">
        <v>0</v>
      </c>
      <c r="AC38" s="104">
        <v>598606.9839357431</v>
      </c>
      <c r="AD38" s="104">
        <v>1605054.9436546187</v>
      </c>
      <c r="AE38" s="104">
        <v>971473.31799710833</v>
      </c>
      <c r="AF38" s="104">
        <v>749007.56157905981</v>
      </c>
      <c r="AG38" s="104">
        <v>6568728.4645392504</v>
      </c>
      <c r="AH38" s="104">
        <v>450298.70008032135</v>
      </c>
      <c r="AI38" s="104">
        <v>521905.56224899605</v>
      </c>
      <c r="AJ38" s="104">
        <v>556242.12934386195</v>
      </c>
      <c r="AK38" s="104">
        <v>502554</v>
      </c>
      <c r="AL38" s="104">
        <v>508046.12151114293</v>
      </c>
      <c r="AM38" s="104">
        <v>535886.41092173092</v>
      </c>
      <c r="AN38" s="104">
        <v>495914.44469056139</v>
      </c>
      <c r="AO38" s="104">
        <v>472717.42725042743</v>
      </c>
      <c r="AP38" s="104">
        <v>467935.01204050542</v>
      </c>
      <c r="AQ38" s="104">
        <v>335391.23796485912</v>
      </c>
      <c r="AR38" s="104">
        <v>352705.50313385652</v>
      </c>
      <c r="AS38" s="104">
        <v>384506.59796285594</v>
      </c>
      <c r="AT38" s="104">
        <v>343610.77924424701</v>
      </c>
      <c r="AU38" s="104">
        <v>315150.88204091339</v>
      </c>
      <c r="AV38" s="104">
        <v>2803324.4895550767</v>
      </c>
      <c r="AW38" s="104">
        <v>215773.17488863002</v>
      </c>
      <c r="AX38" s="108">
        <f t="shared" si="24"/>
        <v>20661752.555828743</v>
      </c>
      <c r="AY38" s="106"/>
      <c r="AZ38" s="103">
        <v>2621562.18875502</v>
      </c>
      <c r="BA38" s="107">
        <v>0</v>
      </c>
      <c r="BB38" s="104">
        <v>1757480.0160642571</v>
      </c>
      <c r="BC38" s="104">
        <v>2682870.5863453816</v>
      </c>
      <c r="BD38" s="104">
        <v>1010648.2301478914</v>
      </c>
      <c r="BE38" s="104">
        <v>2165099.9826894696</v>
      </c>
      <c r="BF38" s="104">
        <v>18987730.717808768</v>
      </c>
      <c r="BG38" s="104">
        <v>1301644.6799196787</v>
      </c>
      <c r="BH38" s="104">
        <v>1103954.437751004</v>
      </c>
      <c r="BI38" s="104">
        <v>1182026.0940396653</v>
      </c>
      <c r="BJ38" s="104">
        <v>1114146</v>
      </c>
      <c r="BK38" s="104">
        <v>1169750.298488857</v>
      </c>
      <c r="BL38" s="104">
        <v>1254181.5531782687</v>
      </c>
      <c r="BM38" s="104">
        <v>1159354.4153094385</v>
      </c>
      <c r="BN38" s="104">
        <v>1058304.0325370617</v>
      </c>
      <c r="BO38" s="107">
        <v>1029282.0259594945</v>
      </c>
      <c r="BP38" s="107">
        <v>1030663.9780351409</v>
      </c>
      <c r="BQ38" s="107">
        <v>1030809.7821661433</v>
      </c>
      <c r="BR38" s="107">
        <v>955204.4326861439</v>
      </c>
      <c r="BS38" s="107">
        <v>913322.50785575283</v>
      </c>
      <c r="BT38" s="104">
        <v>862503.64235908655</v>
      </c>
      <c r="BU38" s="104">
        <v>8515339.5104449242</v>
      </c>
      <c r="BV38" s="107">
        <v>0</v>
      </c>
      <c r="BW38" s="108">
        <f t="shared" si="25"/>
        <v>52905879.112541445</v>
      </c>
      <c r="BX38" s="106"/>
      <c r="BY38" s="109">
        <v>0</v>
      </c>
      <c r="BZ38" s="104">
        <v>0</v>
      </c>
      <c r="CA38" s="104">
        <v>0</v>
      </c>
      <c r="CB38" s="104">
        <v>33118</v>
      </c>
      <c r="CC38" s="104">
        <v>399408</v>
      </c>
      <c r="CD38" s="104">
        <v>74031</v>
      </c>
      <c r="CE38" s="104">
        <v>631406</v>
      </c>
      <c r="CF38" s="104">
        <v>0</v>
      </c>
      <c r="CG38" s="104">
        <v>0</v>
      </c>
      <c r="CH38" s="104">
        <v>0</v>
      </c>
      <c r="CI38" s="110">
        <v>0</v>
      </c>
      <c r="CJ38" s="110">
        <v>0</v>
      </c>
      <c r="CK38" s="110">
        <v>0</v>
      </c>
      <c r="CL38" s="110">
        <v>0</v>
      </c>
      <c r="CM38" s="110">
        <v>0</v>
      </c>
      <c r="CN38" s="107">
        <v>0</v>
      </c>
      <c r="CO38" s="107">
        <v>0</v>
      </c>
      <c r="CP38" s="107">
        <v>0</v>
      </c>
      <c r="CQ38" s="107">
        <v>0</v>
      </c>
      <c r="CR38" s="107">
        <v>0</v>
      </c>
      <c r="CS38" s="107">
        <v>0</v>
      </c>
      <c r="CT38" s="107">
        <v>0</v>
      </c>
      <c r="CU38" s="107">
        <v>0</v>
      </c>
      <c r="CV38" s="108">
        <f t="shared" si="26"/>
        <v>1137963</v>
      </c>
    </row>
    <row r="39" spans="1:100" s="3" customFormat="1">
      <c r="A39" s="3" t="s">
        <v>31</v>
      </c>
      <c r="B39" s="103">
        <f t="shared" si="0"/>
        <v>416406</v>
      </c>
      <c r="C39" s="104">
        <f t="shared" si="1"/>
        <v>0</v>
      </c>
      <c r="D39" s="104">
        <f t="shared" si="2"/>
        <v>471755</v>
      </c>
      <c r="E39" s="104">
        <f t="shared" si="3"/>
        <v>811149.97</v>
      </c>
      <c r="F39" s="104">
        <f t="shared" si="4"/>
        <v>344087.83851500007</v>
      </c>
      <c r="G39" s="104">
        <f t="shared" si="5"/>
        <v>641653.70092683402</v>
      </c>
      <c r="H39" s="104">
        <f t="shared" si="6"/>
        <v>4237705.0706973337</v>
      </c>
      <c r="I39" s="104">
        <f t="shared" si="7"/>
        <v>341761.5</v>
      </c>
      <c r="J39" s="104">
        <f t="shared" si="8"/>
        <v>269058</v>
      </c>
      <c r="K39" s="104">
        <f t="shared" si="9"/>
        <v>288914.76415384281</v>
      </c>
      <c r="L39" s="104">
        <f t="shared" si="10"/>
        <v>438767</v>
      </c>
      <c r="M39" s="104">
        <f t="shared" si="11"/>
        <v>291467.74</v>
      </c>
      <c r="N39" s="104">
        <f t="shared" si="12"/>
        <v>298536.87959999999</v>
      </c>
      <c r="O39" s="104">
        <f t="shared" si="13"/>
        <v>283141.20999999996</v>
      </c>
      <c r="P39" s="104">
        <f t="shared" si="14"/>
        <v>260642.64691824606</v>
      </c>
      <c r="Q39" s="104">
        <f t="shared" si="15"/>
        <v>253851.28800000003</v>
      </c>
      <c r="R39" s="104">
        <f t="shared" si="16"/>
        <v>381148.27599999995</v>
      </c>
      <c r="S39" s="104">
        <f t="shared" si="17"/>
        <v>254731.14679999999</v>
      </c>
      <c r="T39" s="104">
        <f t="shared" si="18"/>
        <v>233105.55244399997</v>
      </c>
      <c r="U39" s="104">
        <f t="shared" si="19"/>
        <v>225314.01759999999</v>
      </c>
      <c r="V39" s="104">
        <f t="shared" si="20"/>
        <v>206175.31639999995</v>
      </c>
      <c r="W39" s="104">
        <f t="shared" si="21"/>
        <v>1999430.748289159</v>
      </c>
      <c r="X39" s="104">
        <f t="shared" si="22"/>
        <v>45657.475094688445</v>
      </c>
      <c r="Y39" s="105">
        <f t="shared" si="23"/>
        <v>12994461.141439104</v>
      </c>
      <c r="Z39" s="106"/>
      <c r="AA39" s="103">
        <v>135574.04651162791</v>
      </c>
      <c r="AB39" s="107">
        <v>0</v>
      </c>
      <c r="AC39" s="104">
        <v>146738.34883720931</v>
      </c>
      <c r="AD39" s="104">
        <v>408060.01651162794</v>
      </c>
      <c r="AE39" s="104">
        <v>202586.63184209305</v>
      </c>
      <c r="AF39" s="104">
        <v>208910.50727850411</v>
      </c>
      <c r="AG39" s="104">
        <v>1379717.9299944807</v>
      </c>
      <c r="AH39" s="104">
        <v>111271.18604651163</v>
      </c>
      <c r="AI39" s="104">
        <v>100574.74418604652</v>
      </c>
      <c r="AJ39" s="104">
        <v>103877.67463096158</v>
      </c>
      <c r="AK39" s="104">
        <v>155615</v>
      </c>
      <c r="AL39" s="104">
        <v>107242.21691744968</v>
      </c>
      <c r="AM39" s="104">
        <v>101056.77276401133</v>
      </c>
      <c r="AN39" s="104">
        <v>100605.89907315004</v>
      </c>
      <c r="AO39" s="104">
        <v>94318.990944564983</v>
      </c>
      <c r="AP39" s="104">
        <v>91961.589725258673</v>
      </c>
      <c r="AQ39" s="104">
        <v>218940.99574433907</v>
      </c>
      <c r="AR39" s="104">
        <v>92379.344120038135</v>
      </c>
      <c r="AS39" s="104">
        <v>82667.394934530414</v>
      </c>
      <c r="AT39" s="104">
        <v>81469.261274724733</v>
      </c>
      <c r="AU39" s="104">
        <v>70330.857926256707</v>
      </c>
      <c r="AV39" s="104">
        <v>659720.91147827148</v>
      </c>
      <c r="AW39" s="104">
        <v>45657.475094688445</v>
      </c>
      <c r="AX39" s="108">
        <f t="shared" si="24"/>
        <v>4699277.7958363462</v>
      </c>
      <c r="AY39" s="106"/>
      <c r="AZ39" s="103">
        <v>280831.95348837209</v>
      </c>
      <c r="BA39" s="107">
        <v>0</v>
      </c>
      <c r="BB39" s="104">
        <v>325016.65116279066</v>
      </c>
      <c r="BC39" s="104">
        <v>403089.95348837209</v>
      </c>
      <c r="BD39" s="104">
        <v>141501.20667290699</v>
      </c>
      <c r="BE39" s="104">
        <v>432743.19364832988</v>
      </c>
      <c r="BF39" s="104">
        <v>2857987.140702853</v>
      </c>
      <c r="BG39" s="104">
        <v>230490.31395348837</v>
      </c>
      <c r="BH39" s="104">
        <v>168483.2558139535</v>
      </c>
      <c r="BI39" s="104">
        <v>185037.08952288126</v>
      </c>
      <c r="BJ39" s="104">
        <v>283152</v>
      </c>
      <c r="BK39" s="104">
        <v>184225.52308255029</v>
      </c>
      <c r="BL39" s="104">
        <v>197480.10683598864</v>
      </c>
      <c r="BM39" s="104">
        <v>182535.31092684995</v>
      </c>
      <c r="BN39" s="104">
        <v>166323.65597368107</v>
      </c>
      <c r="BO39" s="107">
        <v>161889.69827474136</v>
      </c>
      <c r="BP39" s="107">
        <v>162207.28025566088</v>
      </c>
      <c r="BQ39" s="107">
        <v>162351.80267996187</v>
      </c>
      <c r="BR39" s="107">
        <v>150438.15750946957</v>
      </c>
      <c r="BS39" s="107">
        <v>143844.75632527526</v>
      </c>
      <c r="BT39" s="104">
        <v>135844.45847374326</v>
      </c>
      <c r="BU39" s="104">
        <v>1339709.8368108876</v>
      </c>
      <c r="BV39" s="107">
        <v>0</v>
      </c>
      <c r="BW39" s="108">
        <f t="shared" si="25"/>
        <v>8295183.3456027582</v>
      </c>
      <c r="BX39" s="106"/>
      <c r="BY39" s="109">
        <v>0</v>
      </c>
      <c r="BZ39" s="104">
        <v>0</v>
      </c>
      <c r="CA39" s="104">
        <v>0</v>
      </c>
      <c r="CB39" s="104">
        <v>0</v>
      </c>
      <c r="CC39" s="104">
        <v>0</v>
      </c>
      <c r="CD39" s="104">
        <v>0</v>
      </c>
      <c r="CE39" s="104">
        <v>0</v>
      </c>
      <c r="CF39" s="104">
        <v>0</v>
      </c>
      <c r="CG39" s="104">
        <v>0</v>
      </c>
      <c r="CH39" s="104">
        <v>0</v>
      </c>
      <c r="CI39" s="110">
        <v>0</v>
      </c>
      <c r="CJ39" s="110">
        <v>0</v>
      </c>
      <c r="CK39" s="110">
        <v>0</v>
      </c>
      <c r="CL39" s="110">
        <v>0</v>
      </c>
      <c r="CM39" s="110">
        <v>0</v>
      </c>
      <c r="CN39" s="107">
        <v>0</v>
      </c>
      <c r="CO39" s="107">
        <v>0</v>
      </c>
      <c r="CP39" s="107">
        <v>0</v>
      </c>
      <c r="CQ39" s="107">
        <v>0</v>
      </c>
      <c r="CR39" s="107">
        <v>0</v>
      </c>
      <c r="CS39" s="107">
        <v>0</v>
      </c>
      <c r="CT39" s="107">
        <v>0</v>
      </c>
      <c r="CU39" s="107">
        <v>0</v>
      </c>
      <c r="CV39" s="108">
        <f t="shared" si="26"/>
        <v>0</v>
      </c>
    </row>
    <row r="40" spans="1:100" s="3" customFormat="1">
      <c r="A40" s="3" t="s">
        <v>32</v>
      </c>
      <c r="B40" s="103">
        <f t="shared" ref="B40:B60" si="27">+AA40+AZ40+BY40</f>
        <v>0</v>
      </c>
      <c r="C40" s="104">
        <f t="shared" ref="C40:C60" si="28">+AB40+BA40+BZ40</f>
        <v>0</v>
      </c>
      <c r="D40" s="104">
        <f t="shared" ref="D40:D60" si="29">+AC40+BB40+CA40</f>
        <v>0</v>
      </c>
      <c r="E40" s="104">
        <f t="shared" ref="E40:E60" si="30">+AD40+BC40+CB40</f>
        <v>0</v>
      </c>
      <c r="F40" s="104">
        <f t="shared" ref="F40:F60" si="31">+AE40+BD40+CC40</f>
        <v>0</v>
      </c>
      <c r="G40" s="104">
        <f t="shared" ref="G40:G60" si="32">+AF40+BE40+CD40</f>
        <v>0</v>
      </c>
      <c r="H40" s="104">
        <f t="shared" ref="H40:H60" si="33">+AG40+BF40+CE40</f>
        <v>0</v>
      </c>
      <c r="I40" s="104">
        <f t="shared" ref="I40:I60" si="34">+AH40+BG40+CF40</f>
        <v>0</v>
      </c>
      <c r="J40" s="104">
        <f t="shared" ref="J40:J60" si="35">+AI40+BH40+CG40</f>
        <v>0</v>
      </c>
      <c r="K40" s="104">
        <f t="shared" ref="K40:K60" si="36">+AJ40+BI40+CH40</f>
        <v>0</v>
      </c>
      <c r="L40" s="104">
        <f t="shared" ref="L40:L60" si="37">+AK40+BJ40+CI40</f>
        <v>0</v>
      </c>
      <c r="M40" s="104">
        <f t="shared" ref="M40:M60" si="38">+AL40+BK40+CJ40</f>
        <v>0</v>
      </c>
      <c r="N40" s="104">
        <f t="shared" ref="N40:N60" si="39">+AM40+BL40+CK40</f>
        <v>0</v>
      </c>
      <c r="O40" s="104">
        <f t="shared" ref="O40:O60" si="40">+AN40+BM40+CL40</f>
        <v>0</v>
      </c>
      <c r="P40" s="104">
        <f t="shared" ref="P40:P60" si="41">+AO40+BN40+CM40</f>
        <v>0</v>
      </c>
      <c r="Q40" s="104">
        <f t="shared" ref="Q40:Q60" si="42">+AP40+BO40+CN40</f>
        <v>0</v>
      </c>
      <c r="R40" s="104">
        <f t="shared" ref="R40:R60" si="43">+AQ40+BP40+CO40</f>
        <v>0</v>
      </c>
      <c r="S40" s="104">
        <f t="shared" ref="S40:S60" si="44">+AR40+BQ40+CP40</f>
        <v>0</v>
      </c>
      <c r="T40" s="104">
        <f t="shared" ref="T40:T60" si="45">+AS40+BR40+CQ40</f>
        <v>0</v>
      </c>
      <c r="U40" s="104">
        <f t="shared" ref="U40:U60" si="46">+AT40+BS40+CR40</f>
        <v>0</v>
      </c>
      <c r="V40" s="104">
        <f t="shared" ref="V40:V60" si="47">+AU40+BT40+CS40</f>
        <v>0</v>
      </c>
      <c r="W40" s="104">
        <f t="shared" ref="W40:W60" si="48">+AV40+BU40+CT40</f>
        <v>0</v>
      </c>
      <c r="X40" s="104">
        <f t="shared" ref="X40:X60" si="49">+AW40+BV40+CU40</f>
        <v>0</v>
      </c>
      <c r="Y40" s="105">
        <f t="shared" si="23"/>
        <v>0</v>
      </c>
      <c r="Z40" s="106"/>
      <c r="AA40" s="103">
        <v>0</v>
      </c>
      <c r="AB40" s="107">
        <v>0</v>
      </c>
      <c r="AC40" s="104">
        <v>0</v>
      </c>
      <c r="AD40" s="104">
        <v>0</v>
      </c>
      <c r="AE40" s="104">
        <v>0</v>
      </c>
      <c r="AF40" s="104">
        <v>0</v>
      </c>
      <c r="AG40" s="104">
        <v>0</v>
      </c>
      <c r="AH40" s="104">
        <v>0</v>
      </c>
      <c r="AI40" s="104">
        <v>0</v>
      </c>
      <c r="AJ40" s="104">
        <v>0</v>
      </c>
      <c r="AK40" s="104">
        <v>0</v>
      </c>
      <c r="AL40" s="104">
        <v>0</v>
      </c>
      <c r="AM40" s="104">
        <v>0</v>
      </c>
      <c r="AN40" s="104">
        <v>0</v>
      </c>
      <c r="AO40" s="104">
        <v>0</v>
      </c>
      <c r="AP40" s="104">
        <v>0</v>
      </c>
      <c r="AQ40" s="104">
        <v>0</v>
      </c>
      <c r="AR40" s="104">
        <v>0</v>
      </c>
      <c r="AS40" s="104">
        <v>0</v>
      </c>
      <c r="AT40" s="104">
        <v>0</v>
      </c>
      <c r="AU40" s="104">
        <v>0</v>
      </c>
      <c r="AV40" s="104">
        <v>0</v>
      </c>
      <c r="AW40" s="104">
        <v>0</v>
      </c>
      <c r="AX40" s="108">
        <f t="shared" si="24"/>
        <v>0</v>
      </c>
      <c r="AY40" s="106"/>
      <c r="AZ40" s="103">
        <v>0</v>
      </c>
      <c r="BA40" s="107">
        <v>0</v>
      </c>
      <c r="BB40" s="104">
        <v>0</v>
      </c>
      <c r="BC40" s="104">
        <v>0</v>
      </c>
      <c r="BD40" s="104">
        <v>0</v>
      </c>
      <c r="BE40" s="104">
        <v>0</v>
      </c>
      <c r="BF40" s="104">
        <v>0</v>
      </c>
      <c r="BG40" s="104">
        <v>0</v>
      </c>
      <c r="BH40" s="104">
        <v>0</v>
      </c>
      <c r="BI40" s="104">
        <v>0</v>
      </c>
      <c r="BJ40" s="104">
        <v>0</v>
      </c>
      <c r="BK40" s="104">
        <v>0</v>
      </c>
      <c r="BL40" s="104">
        <v>0</v>
      </c>
      <c r="BM40" s="104">
        <v>0</v>
      </c>
      <c r="BN40" s="104">
        <v>0</v>
      </c>
      <c r="BO40" s="107">
        <v>0</v>
      </c>
      <c r="BP40" s="107">
        <v>0</v>
      </c>
      <c r="BQ40" s="107">
        <v>0</v>
      </c>
      <c r="BR40" s="107">
        <v>0</v>
      </c>
      <c r="BS40" s="107">
        <v>0</v>
      </c>
      <c r="BT40" s="104">
        <v>0</v>
      </c>
      <c r="BU40" s="104">
        <v>0</v>
      </c>
      <c r="BV40" s="107">
        <v>0</v>
      </c>
      <c r="BW40" s="108">
        <f t="shared" si="25"/>
        <v>0</v>
      </c>
      <c r="BX40" s="106"/>
      <c r="BY40" s="103">
        <v>0</v>
      </c>
      <c r="BZ40" s="104">
        <v>0</v>
      </c>
      <c r="CA40" s="104">
        <v>0</v>
      </c>
      <c r="CB40" s="104">
        <v>0</v>
      </c>
      <c r="CC40" s="104">
        <v>0</v>
      </c>
      <c r="CD40" s="104">
        <v>0</v>
      </c>
      <c r="CE40" s="104">
        <v>0</v>
      </c>
      <c r="CF40" s="104">
        <v>0</v>
      </c>
      <c r="CG40" s="104">
        <v>0</v>
      </c>
      <c r="CH40" s="104">
        <v>0</v>
      </c>
      <c r="CI40" s="104">
        <v>0</v>
      </c>
      <c r="CJ40" s="104">
        <v>0</v>
      </c>
      <c r="CK40" s="104">
        <v>0</v>
      </c>
      <c r="CL40" s="104">
        <v>0</v>
      </c>
      <c r="CM40" s="104">
        <v>0</v>
      </c>
      <c r="CN40" s="107">
        <v>0</v>
      </c>
      <c r="CO40" s="107">
        <v>0</v>
      </c>
      <c r="CP40" s="107">
        <v>0</v>
      </c>
      <c r="CQ40" s="107">
        <v>0</v>
      </c>
      <c r="CR40" s="107">
        <v>0</v>
      </c>
      <c r="CS40" s="107">
        <v>0</v>
      </c>
      <c r="CT40" s="107">
        <v>0</v>
      </c>
      <c r="CU40" s="107">
        <v>0</v>
      </c>
      <c r="CV40" s="108">
        <f t="shared" si="26"/>
        <v>0</v>
      </c>
    </row>
    <row r="41" spans="1:100" s="3" customFormat="1">
      <c r="A41" s="3" t="s">
        <v>33</v>
      </c>
      <c r="B41" s="103">
        <f t="shared" si="27"/>
        <v>2524151</v>
      </c>
      <c r="C41" s="104">
        <f t="shared" si="28"/>
        <v>0</v>
      </c>
      <c r="D41" s="104">
        <f t="shared" si="29"/>
        <v>8473745</v>
      </c>
      <c r="E41" s="104">
        <f t="shared" si="30"/>
        <v>2708522.52</v>
      </c>
      <c r="F41" s="104">
        <f t="shared" si="31"/>
        <v>2617397.414330001</v>
      </c>
      <c r="G41" s="104">
        <f t="shared" si="32"/>
        <v>4540918.7950912081</v>
      </c>
      <c r="H41" s="104">
        <f t="shared" si="33"/>
        <v>35275195.205408931</v>
      </c>
      <c r="I41" s="104">
        <f t="shared" si="34"/>
        <v>2455205.25</v>
      </c>
      <c r="J41" s="104">
        <f t="shared" si="35"/>
        <v>2206064</v>
      </c>
      <c r="K41" s="104">
        <f t="shared" si="36"/>
        <v>2346701.2480631541</v>
      </c>
      <c r="L41" s="104">
        <f t="shared" si="37"/>
        <v>2283574</v>
      </c>
      <c r="M41" s="104">
        <f t="shared" si="38"/>
        <v>2285923.7400000002</v>
      </c>
      <c r="N41" s="104">
        <f t="shared" si="39"/>
        <v>2428802.2513999995</v>
      </c>
      <c r="O41" s="104">
        <f t="shared" si="40"/>
        <v>2236147.6799999997</v>
      </c>
      <c r="P41" s="104">
        <f t="shared" si="41"/>
        <v>2017547.5163971875</v>
      </c>
      <c r="Q41" s="104">
        <f t="shared" si="42"/>
        <v>1983635.4919999999</v>
      </c>
      <c r="R41" s="104">
        <f t="shared" si="43"/>
        <v>1909221.4239999996</v>
      </c>
      <c r="S41" s="104">
        <f t="shared" si="44"/>
        <v>1968402.3361999998</v>
      </c>
      <c r="T41" s="104">
        <f t="shared" si="45"/>
        <v>1830703.0819459998</v>
      </c>
      <c r="U41" s="104">
        <f t="shared" si="46"/>
        <v>1738906.4233999997</v>
      </c>
      <c r="V41" s="104">
        <f t="shared" si="47"/>
        <v>1629187.2076000001</v>
      </c>
      <c r="W41" s="104">
        <f t="shared" si="48"/>
        <v>1599912.0953999995</v>
      </c>
      <c r="X41" s="104">
        <f t="shared" si="49"/>
        <v>14177316.492314268</v>
      </c>
      <c r="Y41" s="105">
        <f t="shared" si="23"/>
        <v>101237180.17355074</v>
      </c>
      <c r="Z41" s="106"/>
      <c r="AA41" s="103">
        <v>736818.64450867055</v>
      </c>
      <c r="AB41" s="107">
        <v>0</v>
      </c>
      <c r="AC41" s="104">
        <v>2469023.13583815</v>
      </c>
      <c r="AD41" s="104">
        <v>1520818.456416185</v>
      </c>
      <c r="AE41" s="104">
        <v>1279196.1979691621</v>
      </c>
      <c r="AF41" s="104">
        <v>1325528.3187983006</v>
      </c>
      <c r="AG41" s="104">
        <v>10297094.554180063</v>
      </c>
      <c r="AH41" s="104">
        <v>716692.86199421971</v>
      </c>
      <c r="AI41" s="104">
        <v>780525.83526011556</v>
      </c>
      <c r="AJ41" s="104">
        <v>781913.83774004655</v>
      </c>
      <c r="AK41" s="104">
        <v>754271</v>
      </c>
      <c r="AL41" s="104">
        <v>746384.7002518042</v>
      </c>
      <c r="AM41" s="104">
        <v>778108.96165642864</v>
      </c>
      <c r="AN41" s="104">
        <v>710473.25244870991</v>
      </c>
      <c r="AO41" s="104">
        <v>622269.01201904716</v>
      </c>
      <c r="AP41" s="104">
        <v>629463.09490506724</v>
      </c>
      <c r="AQ41" s="104">
        <v>553352.91326146363</v>
      </c>
      <c r="AR41" s="104">
        <v>611721.19733749249</v>
      </c>
      <c r="AS41" s="104">
        <v>573481.68045529188</v>
      </c>
      <c r="AT41" s="104">
        <v>536808.38881797413</v>
      </c>
      <c r="AU41" s="104">
        <v>493971.28792220767</v>
      </c>
      <c r="AV41" s="104">
        <v>484632.80274194095</v>
      </c>
      <c r="AW41" s="104">
        <v>4182688.7312042997</v>
      </c>
      <c r="AX41" s="108">
        <f t="shared" si="24"/>
        <v>31585238.865726639</v>
      </c>
      <c r="AY41" s="106"/>
      <c r="AZ41" s="103">
        <v>1787332.3554913295</v>
      </c>
      <c r="BA41" s="107">
        <v>0</v>
      </c>
      <c r="BB41" s="104">
        <v>6004721.86416185</v>
      </c>
      <c r="BC41" s="104">
        <v>1187704.063583815</v>
      </c>
      <c r="BD41" s="104">
        <v>1338201.2163608386</v>
      </c>
      <c r="BE41" s="104">
        <v>3215390.4762929073</v>
      </c>
      <c r="BF41" s="104">
        <v>24978100.651228871</v>
      </c>
      <c r="BG41" s="104">
        <v>1738512.3880057803</v>
      </c>
      <c r="BH41" s="104">
        <v>1425538.1647398844</v>
      </c>
      <c r="BI41" s="104">
        <v>1564787.4103231076</v>
      </c>
      <c r="BJ41" s="104">
        <v>1529303</v>
      </c>
      <c r="BK41" s="104">
        <v>1539539.0397481958</v>
      </c>
      <c r="BL41" s="104">
        <v>1650693.2897435708</v>
      </c>
      <c r="BM41" s="104">
        <v>1525674.42755129</v>
      </c>
      <c r="BN41" s="104">
        <v>1395278.5043781404</v>
      </c>
      <c r="BO41" s="107">
        <v>1354172.3970949326</v>
      </c>
      <c r="BP41" s="107">
        <v>1355868.510738536</v>
      </c>
      <c r="BQ41" s="107">
        <v>1356681.1388625072</v>
      </c>
      <c r="BR41" s="107">
        <v>1257221.4014907079</v>
      </c>
      <c r="BS41" s="107">
        <v>1202098.0345820256</v>
      </c>
      <c r="BT41" s="104">
        <v>1135215.9196777923</v>
      </c>
      <c r="BU41" s="104">
        <v>1115279.2926580587</v>
      </c>
      <c r="BV41" s="107">
        <v>9994627.7611099686</v>
      </c>
      <c r="BW41" s="108">
        <f t="shared" si="25"/>
        <v>69651941.30782412</v>
      </c>
      <c r="BX41" s="106"/>
      <c r="BY41" s="109">
        <v>0</v>
      </c>
      <c r="BZ41" s="104">
        <v>0</v>
      </c>
      <c r="CA41" s="104">
        <v>0</v>
      </c>
      <c r="CB41" s="104">
        <v>0</v>
      </c>
      <c r="CC41" s="104">
        <v>0</v>
      </c>
      <c r="CD41" s="104">
        <v>0</v>
      </c>
      <c r="CE41" s="104">
        <v>0</v>
      </c>
      <c r="CF41" s="104">
        <v>0</v>
      </c>
      <c r="CG41" s="104">
        <v>0</v>
      </c>
      <c r="CH41" s="104">
        <v>0</v>
      </c>
      <c r="CI41" s="110">
        <v>0</v>
      </c>
      <c r="CJ41" s="110">
        <v>0</v>
      </c>
      <c r="CK41" s="110">
        <v>0</v>
      </c>
      <c r="CL41" s="110">
        <v>0</v>
      </c>
      <c r="CM41" s="110">
        <v>0</v>
      </c>
      <c r="CN41" s="107">
        <v>0</v>
      </c>
      <c r="CO41" s="107">
        <v>0</v>
      </c>
      <c r="CP41" s="107">
        <v>0</v>
      </c>
      <c r="CQ41" s="107">
        <v>0</v>
      </c>
      <c r="CR41" s="107">
        <v>0</v>
      </c>
      <c r="CS41" s="107">
        <v>0</v>
      </c>
      <c r="CT41" s="107">
        <v>0</v>
      </c>
      <c r="CU41" s="107">
        <v>0</v>
      </c>
      <c r="CV41" s="108">
        <f t="shared" si="26"/>
        <v>0</v>
      </c>
    </row>
    <row r="42" spans="1:100" s="3" customFormat="1">
      <c r="A42" s="3" t="s">
        <v>34</v>
      </c>
      <c r="B42" s="103">
        <f t="shared" si="27"/>
        <v>252494</v>
      </c>
      <c r="C42" s="104">
        <f t="shared" si="28"/>
        <v>0</v>
      </c>
      <c r="D42" s="104">
        <f t="shared" si="29"/>
        <v>715283</v>
      </c>
      <c r="E42" s="104">
        <f t="shared" si="30"/>
        <v>265776.80000000005</v>
      </c>
      <c r="F42" s="104">
        <f t="shared" si="31"/>
        <v>229572</v>
      </c>
      <c r="G42" s="104">
        <f t="shared" si="32"/>
        <v>245315.00604692381</v>
      </c>
      <c r="H42" s="104">
        <f t="shared" si="33"/>
        <v>3053073</v>
      </c>
      <c r="I42" s="104">
        <f t="shared" si="34"/>
        <v>208364.73</v>
      </c>
      <c r="J42" s="104">
        <f t="shared" si="35"/>
        <v>167186</v>
      </c>
      <c r="K42" s="104">
        <f t="shared" si="36"/>
        <v>197917.90968640748</v>
      </c>
      <c r="L42" s="104">
        <f t="shared" si="37"/>
        <v>252153</v>
      </c>
      <c r="M42" s="104">
        <f t="shared" si="38"/>
        <v>183901.66</v>
      </c>
      <c r="N42" s="104">
        <f t="shared" si="39"/>
        <v>194063.96609999999</v>
      </c>
      <c r="O42" s="104">
        <f t="shared" si="40"/>
        <v>177998.78</v>
      </c>
      <c r="P42" s="104">
        <f t="shared" si="41"/>
        <v>166222.12311109065</v>
      </c>
      <c r="Q42" s="104">
        <f t="shared" si="42"/>
        <v>158972.19799999997</v>
      </c>
      <c r="R42" s="104">
        <f t="shared" si="43"/>
        <v>242275.106</v>
      </c>
      <c r="S42" s="104">
        <f t="shared" si="44"/>
        <v>160336.55129999999</v>
      </c>
      <c r="T42" s="104">
        <f t="shared" si="45"/>
        <v>148826.28842899998</v>
      </c>
      <c r="U42" s="104">
        <f t="shared" si="46"/>
        <v>142472.1991</v>
      </c>
      <c r="V42" s="104">
        <f t="shared" si="47"/>
        <v>134736.91239999997</v>
      </c>
      <c r="W42" s="104">
        <f t="shared" si="48"/>
        <v>1314233.2506432196</v>
      </c>
      <c r="X42" s="104">
        <f t="shared" si="49"/>
        <v>9271.2679302505767</v>
      </c>
      <c r="Y42" s="105">
        <f t="shared" si="23"/>
        <v>8620445.7487468924</v>
      </c>
      <c r="Z42" s="106"/>
      <c r="AA42" s="103">
        <v>95773.586206896565</v>
      </c>
      <c r="AB42" s="107">
        <v>0</v>
      </c>
      <c r="AC42" s="104">
        <v>267297.20689655177</v>
      </c>
      <c r="AD42" s="104">
        <v>159542.14482758622</v>
      </c>
      <c r="AE42" s="104">
        <v>87079.034482758623</v>
      </c>
      <c r="AF42" s="104">
        <v>92836.209190212481</v>
      </c>
      <c r="AG42" s="104">
        <v>1147531.7586206899</v>
      </c>
      <c r="AH42" s="104">
        <v>79034.897586206906</v>
      </c>
      <c r="AI42" s="104">
        <v>71090.827586206899</v>
      </c>
      <c r="AJ42" s="104">
        <v>82955.004587047471</v>
      </c>
      <c r="AK42" s="104">
        <v>104658</v>
      </c>
      <c r="AL42" s="104">
        <v>71961.851823254619</v>
      </c>
      <c r="AM42" s="104">
        <v>74042.000825328709</v>
      </c>
      <c r="AN42" s="104">
        <v>67121.259448108118</v>
      </c>
      <c r="AO42" s="104">
        <v>64595.084067909957</v>
      </c>
      <c r="AP42" s="104">
        <v>60524.044868665842</v>
      </c>
      <c r="AQ42" s="104">
        <v>143702.3124709145</v>
      </c>
      <c r="AR42" s="104">
        <v>61708.842908717692</v>
      </c>
      <c r="AS42" s="104">
        <v>57414.380799443657</v>
      </c>
      <c r="AT42" s="104">
        <v>55063.449621456239</v>
      </c>
      <c r="AU42" s="104">
        <v>52195.855591719133</v>
      </c>
      <c r="AV42" s="104">
        <v>499843.39211244683</v>
      </c>
      <c r="AW42" s="104">
        <v>9271.2679302505767</v>
      </c>
      <c r="AX42" s="108">
        <f t="shared" si="24"/>
        <v>3405242.4124523723</v>
      </c>
      <c r="AY42" s="106"/>
      <c r="AZ42" s="103">
        <v>156720.41379310345</v>
      </c>
      <c r="BA42" s="107">
        <v>0</v>
      </c>
      <c r="BB42" s="104">
        <v>447985.79310344823</v>
      </c>
      <c r="BC42" s="104">
        <v>105030.6551724138</v>
      </c>
      <c r="BD42" s="104">
        <v>142492.96551724139</v>
      </c>
      <c r="BE42" s="104">
        <v>151913.79685671133</v>
      </c>
      <c r="BF42" s="104">
        <v>1877779.2413793104</v>
      </c>
      <c r="BG42" s="104">
        <v>129329.8324137931</v>
      </c>
      <c r="BH42" s="104">
        <v>96095.172413793101</v>
      </c>
      <c r="BI42" s="104">
        <v>114962.90509936001</v>
      </c>
      <c r="BJ42" s="104">
        <v>147495</v>
      </c>
      <c r="BK42" s="104">
        <v>111939.80817674538</v>
      </c>
      <c r="BL42" s="104">
        <v>120021.96527467128</v>
      </c>
      <c r="BM42" s="104">
        <v>110877.52055189188</v>
      </c>
      <c r="BN42" s="104">
        <v>101627.0390431807</v>
      </c>
      <c r="BO42" s="107">
        <v>98448.15313133414</v>
      </c>
      <c r="BP42" s="107">
        <v>98572.793529085495</v>
      </c>
      <c r="BQ42" s="107">
        <v>98627.7083912823</v>
      </c>
      <c r="BR42" s="107">
        <v>91411.907629556314</v>
      </c>
      <c r="BS42" s="107">
        <v>87408.749478543759</v>
      </c>
      <c r="BT42" s="104">
        <v>82541.056808280831</v>
      </c>
      <c r="BU42" s="104">
        <v>814389.85853077273</v>
      </c>
      <c r="BV42" s="107">
        <v>0</v>
      </c>
      <c r="BW42" s="108">
        <f t="shared" si="25"/>
        <v>5185672.3362945188</v>
      </c>
      <c r="BX42" s="106"/>
      <c r="BY42" s="109">
        <v>0</v>
      </c>
      <c r="BZ42" s="104">
        <v>0</v>
      </c>
      <c r="CA42" s="104">
        <v>0</v>
      </c>
      <c r="CB42" s="104">
        <v>1204</v>
      </c>
      <c r="CC42" s="104">
        <v>0</v>
      </c>
      <c r="CD42" s="104">
        <v>565</v>
      </c>
      <c r="CE42" s="104">
        <v>27762</v>
      </c>
      <c r="CF42" s="104">
        <v>0</v>
      </c>
      <c r="CG42" s="104">
        <v>0</v>
      </c>
      <c r="CH42" s="104">
        <v>0</v>
      </c>
      <c r="CI42" s="110">
        <v>0</v>
      </c>
      <c r="CJ42" s="110">
        <v>0</v>
      </c>
      <c r="CK42" s="110">
        <v>0</v>
      </c>
      <c r="CL42" s="110">
        <v>0</v>
      </c>
      <c r="CM42" s="110">
        <v>0</v>
      </c>
      <c r="CN42" s="107">
        <v>0</v>
      </c>
      <c r="CO42" s="107">
        <v>0</v>
      </c>
      <c r="CP42" s="107">
        <v>0</v>
      </c>
      <c r="CQ42" s="107">
        <v>0</v>
      </c>
      <c r="CR42" s="107">
        <v>0</v>
      </c>
      <c r="CS42" s="107">
        <v>0</v>
      </c>
      <c r="CT42" s="107">
        <v>0</v>
      </c>
      <c r="CU42" s="107">
        <v>0</v>
      </c>
      <c r="CV42" s="108">
        <f t="shared" si="26"/>
        <v>29531</v>
      </c>
    </row>
    <row r="43" spans="1:100" s="3" customFormat="1">
      <c r="A43" s="3" t="s">
        <v>35</v>
      </c>
      <c r="B43" s="103">
        <f t="shared" si="27"/>
        <v>1968935.0000000002</v>
      </c>
      <c r="C43" s="104">
        <f t="shared" si="28"/>
        <v>0</v>
      </c>
      <c r="D43" s="104">
        <f t="shared" si="29"/>
        <v>5613105.0000000009</v>
      </c>
      <c r="E43" s="104">
        <f t="shared" si="30"/>
        <v>2764475.6100000003</v>
      </c>
      <c r="F43" s="104">
        <f t="shared" si="31"/>
        <v>2349314.2436250001</v>
      </c>
      <c r="G43" s="104">
        <f t="shared" si="32"/>
        <v>3070532.0518658692</v>
      </c>
      <c r="H43" s="104">
        <f t="shared" si="33"/>
        <v>24073524.540224567</v>
      </c>
      <c r="I43" s="104">
        <f t="shared" si="34"/>
        <v>1701623.0400000003</v>
      </c>
      <c r="J43" s="104">
        <f t="shared" si="35"/>
        <v>1381152</v>
      </c>
      <c r="K43" s="104">
        <f t="shared" si="36"/>
        <v>1561005.9227788348</v>
      </c>
      <c r="L43" s="104">
        <f t="shared" si="37"/>
        <v>1526455</v>
      </c>
      <c r="M43" s="104">
        <f t="shared" si="38"/>
        <v>1466098.4</v>
      </c>
      <c r="N43" s="104">
        <f t="shared" si="39"/>
        <v>1593264.8824999998</v>
      </c>
      <c r="O43" s="104">
        <f t="shared" si="40"/>
        <v>1468004.595</v>
      </c>
      <c r="P43" s="104">
        <f t="shared" si="41"/>
        <v>1338116.7343179374</v>
      </c>
      <c r="Q43" s="104">
        <f t="shared" si="42"/>
        <v>1299208.55</v>
      </c>
      <c r="R43" s="104">
        <f t="shared" si="43"/>
        <v>1234459.6100000001</v>
      </c>
      <c r="S43" s="104">
        <f t="shared" si="44"/>
        <v>1269859.9324999999</v>
      </c>
      <c r="T43" s="104">
        <f t="shared" si="45"/>
        <v>1189351.8302249999</v>
      </c>
      <c r="U43" s="104">
        <f t="shared" si="46"/>
        <v>1133376.3674999999</v>
      </c>
      <c r="V43" s="104">
        <f t="shared" si="47"/>
        <v>1071391.08</v>
      </c>
      <c r="W43" s="104">
        <f t="shared" si="48"/>
        <v>10227783.48276715</v>
      </c>
      <c r="X43" s="104">
        <f t="shared" si="49"/>
        <v>200961.26853151602</v>
      </c>
      <c r="Y43" s="105">
        <f t="shared" si="23"/>
        <v>69501999.141835868</v>
      </c>
      <c r="Z43" s="106"/>
      <c r="AA43" s="103">
        <v>796324.82222222234</v>
      </c>
      <c r="AB43" s="107">
        <v>0</v>
      </c>
      <c r="AC43" s="104">
        <v>2235021.0222222228</v>
      </c>
      <c r="AD43" s="104">
        <v>1815400.9344444447</v>
      </c>
      <c r="AE43" s="104">
        <v>1587487.6343550002</v>
      </c>
      <c r="AF43" s="104">
        <v>1030223.1543101962</v>
      </c>
      <c r="AG43" s="104">
        <v>9253048.0629352685</v>
      </c>
      <c r="AH43" s="104">
        <v>688211.98506666673</v>
      </c>
      <c r="AI43" s="104">
        <v>668853.12444444443</v>
      </c>
      <c r="AJ43" s="104">
        <v>705055.49972370279</v>
      </c>
      <c r="AK43" s="104">
        <v>687813</v>
      </c>
      <c r="AL43" s="104">
        <v>623119.71184242296</v>
      </c>
      <c r="AM43" s="104">
        <v>689274.01756388543</v>
      </c>
      <c r="AN43" s="104">
        <v>632906.53675002523</v>
      </c>
      <c r="AO43" s="104">
        <v>575000.73113906314</v>
      </c>
      <c r="AP43" s="104">
        <v>557625.09757518058</v>
      </c>
      <c r="AQ43" s="104">
        <v>491575.96063213726</v>
      </c>
      <c r="AR43" s="104">
        <v>526902.59737390629</v>
      </c>
      <c r="AS43" s="104">
        <v>500864.39926794398</v>
      </c>
      <c r="AT43" s="104">
        <v>475080.96416477638</v>
      </c>
      <c r="AU43" s="104">
        <v>449717.50151744427</v>
      </c>
      <c r="AV43" s="104">
        <v>4090754.2265636497</v>
      </c>
      <c r="AW43" s="104">
        <v>200961.26853151602</v>
      </c>
      <c r="AX43" s="108">
        <f t="shared" si="24"/>
        <v>29281222.252646122</v>
      </c>
      <c r="AY43" s="106"/>
      <c r="AZ43" s="103">
        <v>1172610.1777777779</v>
      </c>
      <c r="BA43" s="107">
        <v>0</v>
      </c>
      <c r="BB43" s="104">
        <v>3378083.9777777782</v>
      </c>
      <c r="BC43" s="104">
        <v>879610.67555555562</v>
      </c>
      <c r="BD43" s="104">
        <v>680228.6092699999</v>
      </c>
      <c r="BE43" s="104">
        <v>1517031.8975556733</v>
      </c>
      <c r="BF43" s="104">
        <v>13625367.477289297</v>
      </c>
      <c r="BG43" s="104">
        <v>1013411.0549333335</v>
      </c>
      <c r="BH43" s="104">
        <v>712298.87555555557</v>
      </c>
      <c r="BI43" s="104">
        <v>855950.42305513204</v>
      </c>
      <c r="BJ43" s="104">
        <v>838642</v>
      </c>
      <c r="BK43" s="104">
        <v>842978.68815757707</v>
      </c>
      <c r="BL43" s="104">
        <v>903990.86493611441</v>
      </c>
      <c r="BM43" s="104">
        <v>835098.05824997474</v>
      </c>
      <c r="BN43" s="104">
        <v>763116.00317887415</v>
      </c>
      <c r="BO43" s="107">
        <v>741583.45242481946</v>
      </c>
      <c r="BP43" s="107">
        <v>742883.64936786285</v>
      </c>
      <c r="BQ43" s="107">
        <v>742957.33512609359</v>
      </c>
      <c r="BR43" s="107">
        <v>688487.43095705588</v>
      </c>
      <c r="BS43" s="107">
        <v>658295.40333522356</v>
      </c>
      <c r="BT43" s="104">
        <v>621673.57848255569</v>
      </c>
      <c r="BU43" s="104">
        <v>6137029.2562035006</v>
      </c>
      <c r="BV43" s="107">
        <v>0</v>
      </c>
      <c r="BW43" s="108">
        <f t="shared" si="25"/>
        <v>38351328.889189757</v>
      </c>
      <c r="BX43" s="106"/>
      <c r="BY43" s="109">
        <v>0</v>
      </c>
      <c r="BZ43" s="104">
        <v>0</v>
      </c>
      <c r="CA43" s="104">
        <v>0</v>
      </c>
      <c r="CB43" s="104">
        <v>69464</v>
      </c>
      <c r="CC43" s="104">
        <v>81598</v>
      </c>
      <c r="CD43" s="104">
        <v>523277</v>
      </c>
      <c r="CE43" s="104">
        <v>1195109</v>
      </c>
      <c r="CF43" s="104">
        <v>0</v>
      </c>
      <c r="CG43" s="104">
        <v>0</v>
      </c>
      <c r="CH43" s="104">
        <v>0</v>
      </c>
      <c r="CI43" s="110">
        <v>0</v>
      </c>
      <c r="CJ43" s="110">
        <v>0</v>
      </c>
      <c r="CK43" s="110">
        <v>0</v>
      </c>
      <c r="CL43" s="110">
        <v>0</v>
      </c>
      <c r="CM43" s="110">
        <v>0</v>
      </c>
      <c r="CN43" s="107">
        <v>0</v>
      </c>
      <c r="CO43" s="107">
        <v>0</v>
      </c>
      <c r="CP43" s="107">
        <v>0</v>
      </c>
      <c r="CQ43" s="107">
        <v>0</v>
      </c>
      <c r="CR43" s="107">
        <v>0</v>
      </c>
      <c r="CS43" s="107">
        <v>0</v>
      </c>
      <c r="CT43" s="107">
        <v>0</v>
      </c>
      <c r="CU43" s="107">
        <v>0</v>
      </c>
      <c r="CV43" s="108">
        <f t="shared" si="26"/>
        <v>1869448</v>
      </c>
    </row>
    <row r="44" spans="1:100" s="3" customFormat="1">
      <c r="A44" s="3" t="s">
        <v>36</v>
      </c>
      <c r="B44" s="103">
        <f t="shared" si="27"/>
        <v>720003</v>
      </c>
      <c r="C44" s="104">
        <f t="shared" si="28"/>
        <v>0</v>
      </c>
      <c r="D44" s="104">
        <f t="shared" si="29"/>
        <v>1156148</v>
      </c>
      <c r="E44" s="104">
        <f t="shared" si="30"/>
        <v>2378105.2699999996</v>
      </c>
      <c r="F44" s="104">
        <f t="shared" si="31"/>
        <v>991357.42808000022</v>
      </c>
      <c r="G44" s="104">
        <f t="shared" si="32"/>
        <v>1245960.3418933456</v>
      </c>
      <c r="H44" s="104">
        <f t="shared" si="33"/>
        <v>9862570.298538316</v>
      </c>
      <c r="I44" s="104">
        <f t="shared" si="34"/>
        <v>796487.24</v>
      </c>
      <c r="J44" s="104">
        <f t="shared" si="35"/>
        <v>612392</v>
      </c>
      <c r="K44" s="104">
        <f t="shared" si="36"/>
        <v>719083.66922424571</v>
      </c>
      <c r="L44" s="104">
        <f t="shared" si="37"/>
        <v>826997</v>
      </c>
      <c r="M44" s="104">
        <f t="shared" si="38"/>
        <v>720760.99</v>
      </c>
      <c r="N44" s="104">
        <f t="shared" si="39"/>
        <v>742538.48730000015</v>
      </c>
      <c r="O44" s="104">
        <f t="shared" si="40"/>
        <v>701449.40999999992</v>
      </c>
      <c r="P44" s="104">
        <f t="shared" si="41"/>
        <v>624077.95879269589</v>
      </c>
      <c r="Q44" s="104">
        <f t="shared" si="42"/>
        <v>607711.87400000007</v>
      </c>
      <c r="R44" s="104">
        <f t="shared" si="43"/>
        <v>580080.75800000015</v>
      </c>
      <c r="S44" s="104">
        <f t="shared" si="44"/>
        <v>602571.05090000003</v>
      </c>
      <c r="T44" s="104">
        <f t="shared" si="45"/>
        <v>529957.05129699991</v>
      </c>
      <c r="U44" s="104">
        <f t="shared" si="46"/>
        <v>502298.13629999995</v>
      </c>
      <c r="V44" s="104">
        <f t="shared" si="47"/>
        <v>480778.68320000003</v>
      </c>
      <c r="W44" s="104">
        <f t="shared" si="48"/>
        <v>4412497.9015790448</v>
      </c>
      <c r="X44" s="104">
        <f t="shared" si="49"/>
        <v>135997.03158641423</v>
      </c>
      <c r="Y44" s="105">
        <f t="shared" si="23"/>
        <v>29949823.580691073</v>
      </c>
      <c r="Z44" s="106"/>
      <c r="AA44" s="103">
        <v>225000.9375</v>
      </c>
      <c r="AB44" s="107">
        <v>0</v>
      </c>
      <c r="AC44" s="104">
        <v>356840.6875</v>
      </c>
      <c r="AD44" s="104">
        <v>1206245.77</v>
      </c>
      <c r="AE44" s="104">
        <v>658086.42815000005</v>
      </c>
      <c r="AF44" s="104">
        <v>389362.60684167058</v>
      </c>
      <c r="AG44" s="104">
        <v>3082053.2182932245</v>
      </c>
      <c r="AH44" s="104">
        <v>248902.26250000001</v>
      </c>
      <c r="AI44" s="104">
        <v>290791.25</v>
      </c>
      <c r="AJ44" s="104">
        <v>297719.46875304729</v>
      </c>
      <c r="AK44" s="104">
        <v>315116</v>
      </c>
      <c r="AL44" s="104">
        <v>303447.61845461366</v>
      </c>
      <c r="AM44" s="104">
        <v>295081.93544376106</v>
      </c>
      <c r="AN44" s="104">
        <v>287921.92764136952</v>
      </c>
      <c r="AO44" s="104">
        <v>245005.01021195835</v>
      </c>
      <c r="AP44" s="104">
        <v>240744.4639054969</v>
      </c>
      <c r="AQ44" s="104">
        <v>212507.33139417518</v>
      </c>
      <c r="AR44" s="104">
        <v>234823.3590146424</v>
      </c>
      <c r="AS44" s="104">
        <v>189167.74096878525</v>
      </c>
      <c r="AT44" s="104">
        <v>176452.14031097194</v>
      </c>
      <c r="AU44" s="104">
        <v>173063.40803244879</v>
      </c>
      <c r="AV44" s="104">
        <v>1379386.7621602372</v>
      </c>
      <c r="AW44" s="104">
        <v>135997.03158641423</v>
      </c>
      <c r="AX44" s="108">
        <f t="shared" si="24"/>
        <v>10943717.358662816</v>
      </c>
      <c r="AY44" s="106"/>
      <c r="AZ44" s="103">
        <v>495002.06249999994</v>
      </c>
      <c r="BA44" s="107">
        <v>0</v>
      </c>
      <c r="BB44" s="104">
        <v>799307.31249999988</v>
      </c>
      <c r="BC44" s="104">
        <v>1171859.4999999998</v>
      </c>
      <c r="BD44" s="104">
        <v>333270.99993000017</v>
      </c>
      <c r="BE44" s="104">
        <v>856597.73505167512</v>
      </c>
      <c r="BF44" s="104">
        <v>6780517.0802450925</v>
      </c>
      <c r="BG44" s="104">
        <v>547584.97749999992</v>
      </c>
      <c r="BH44" s="104">
        <v>321600.74999999994</v>
      </c>
      <c r="BI44" s="104">
        <v>421364.20047119836</v>
      </c>
      <c r="BJ44" s="104">
        <v>511881</v>
      </c>
      <c r="BK44" s="104">
        <v>417313.37154538638</v>
      </c>
      <c r="BL44" s="104">
        <v>447456.55185623904</v>
      </c>
      <c r="BM44" s="104">
        <v>413527.48235863046</v>
      </c>
      <c r="BN44" s="104">
        <v>379072.94858073752</v>
      </c>
      <c r="BO44" s="107">
        <v>366967.4100945032</v>
      </c>
      <c r="BP44" s="107">
        <v>367573.42660582496</v>
      </c>
      <c r="BQ44" s="107">
        <v>367747.69188535766</v>
      </c>
      <c r="BR44" s="107">
        <v>340789.31032821466</v>
      </c>
      <c r="BS44" s="107">
        <v>325845.99598902802</v>
      </c>
      <c r="BT44" s="104">
        <v>307715.27516755124</v>
      </c>
      <c r="BU44" s="104">
        <v>3033111.1394188078</v>
      </c>
      <c r="BV44" s="107">
        <v>0</v>
      </c>
      <c r="BW44" s="108">
        <f t="shared" si="25"/>
        <v>19006106.222028244</v>
      </c>
      <c r="BX44" s="106"/>
      <c r="BY44" s="109">
        <v>0</v>
      </c>
      <c r="BZ44" s="104">
        <v>0</v>
      </c>
      <c r="CA44" s="104">
        <v>0</v>
      </c>
      <c r="CB44" s="104">
        <v>0</v>
      </c>
      <c r="CC44" s="104">
        <v>0</v>
      </c>
      <c r="CD44" s="104">
        <v>0</v>
      </c>
      <c r="CE44" s="104">
        <v>0</v>
      </c>
      <c r="CF44" s="104">
        <v>0</v>
      </c>
      <c r="CG44" s="104">
        <v>0</v>
      </c>
      <c r="CH44" s="104">
        <v>0</v>
      </c>
      <c r="CI44" s="110">
        <v>0</v>
      </c>
      <c r="CJ44" s="110">
        <v>0</v>
      </c>
      <c r="CK44" s="110">
        <v>0</v>
      </c>
      <c r="CL44" s="110">
        <v>0</v>
      </c>
      <c r="CM44" s="110">
        <v>0</v>
      </c>
      <c r="CN44" s="107">
        <v>0</v>
      </c>
      <c r="CO44" s="107">
        <v>0</v>
      </c>
      <c r="CP44" s="107">
        <v>0</v>
      </c>
      <c r="CQ44" s="107">
        <v>0</v>
      </c>
      <c r="CR44" s="107">
        <v>0</v>
      </c>
      <c r="CS44" s="107">
        <v>0</v>
      </c>
      <c r="CT44" s="107">
        <v>0</v>
      </c>
      <c r="CU44" s="107">
        <v>0</v>
      </c>
      <c r="CV44" s="108">
        <f t="shared" si="26"/>
        <v>0</v>
      </c>
    </row>
    <row r="45" spans="1:100" s="3" customFormat="1">
      <c r="A45" s="3" t="s">
        <v>37</v>
      </c>
      <c r="B45" s="103">
        <f t="shared" si="27"/>
        <v>932121</v>
      </c>
      <c r="C45" s="104">
        <f t="shared" si="28"/>
        <v>0</v>
      </c>
      <c r="D45" s="104">
        <f t="shared" si="29"/>
        <v>2795710</v>
      </c>
      <c r="E45" s="104">
        <f t="shared" si="30"/>
        <v>1243269.71</v>
      </c>
      <c r="F45" s="104">
        <f t="shared" si="31"/>
        <v>1508334.353445</v>
      </c>
      <c r="G45" s="104">
        <f t="shared" si="32"/>
        <v>1200840.2550786478</v>
      </c>
      <c r="H45" s="104">
        <f t="shared" si="33"/>
        <v>11184087.608434372</v>
      </c>
      <c r="I45" s="104">
        <f t="shared" si="34"/>
        <v>835765.29</v>
      </c>
      <c r="J45" s="104">
        <f t="shared" si="35"/>
        <v>654197</v>
      </c>
      <c r="K45" s="104">
        <f t="shared" si="36"/>
        <v>788142.13538103015</v>
      </c>
      <c r="L45" s="104">
        <f t="shared" si="37"/>
        <v>713411</v>
      </c>
      <c r="M45" s="104">
        <f t="shared" si="38"/>
        <v>751201.95</v>
      </c>
      <c r="N45" s="104">
        <f t="shared" si="39"/>
        <v>775570.98809999996</v>
      </c>
      <c r="O45" s="104">
        <f t="shared" si="40"/>
        <v>745514.77</v>
      </c>
      <c r="P45" s="104">
        <f t="shared" si="41"/>
        <v>668942.06288342818</v>
      </c>
      <c r="Q45" s="104">
        <f t="shared" si="42"/>
        <v>661467.16799999983</v>
      </c>
      <c r="R45" s="104">
        <f t="shared" si="43"/>
        <v>662379.38599999994</v>
      </c>
      <c r="S45" s="104">
        <f t="shared" si="44"/>
        <v>637870.72730000003</v>
      </c>
      <c r="T45" s="104">
        <f t="shared" si="45"/>
        <v>589358.65650900011</v>
      </c>
      <c r="U45" s="104">
        <f t="shared" si="46"/>
        <v>562406.59109999996</v>
      </c>
      <c r="V45" s="104">
        <f t="shared" si="47"/>
        <v>535174.41040000005</v>
      </c>
      <c r="W45" s="104">
        <f t="shared" si="48"/>
        <v>4956313.574593015</v>
      </c>
      <c r="X45" s="104">
        <f t="shared" si="49"/>
        <v>115699.79263065418</v>
      </c>
      <c r="Y45" s="105">
        <f t="shared" si="23"/>
        <v>33517778.429855146</v>
      </c>
      <c r="Z45" s="106"/>
      <c r="AA45" s="103">
        <v>410475.30275229353</v>
      </c>
      <c r="AB45" s="107">
        <v>0</v>
      </c>
      <c r="AC45" s="104">
        <v>1203113.7706422019</v>
      </c>
      <c r="AD45" s="104">
        <v>871182.75587155961</v>
      </c>
      <c r="AE45" s="104">
        <v>1000702.8566546789</v>
      </c>
      <c r="AF45" s="104">
        <v>528810.38755756966</v>
      </c>
      <c r="AG45" s="104">
        <v>4925102.8000444937</v>
      </c>
      <c r="AH45" s="104">
        <v>368043.43045871559</v>
      </c>
      <c r="AI45" s="104">
        <v>331235.92660550459</v>
      </c>
      <c r="AJ45" s="104">
        <v>397913.55121163692</v>
      </c>
      <c r="AK45" s="104">
        <v>351915</v>
      </c>
      <c r="AL45" s="104">
        <v>361180.64060283691</v>
      </c>
      <c r="AM45" s="104">
        <v>357409.36973219563</v>
      </c>
      <c r="AN45" s="104">
        <v>359106.15947990544</v>
      </c>
      <c r="AO45" s="104">
        <v>317148.91398638533</v>
      </c>
      <c r="AP45" s="104">
        <v>318281.26694444439</v>
      </c>
      <c r="AQ45" s="104">
        <v>318862.17845005909</v>
      </c>
      <c r="AR45" s="104">
        <v>294175.58451351954</v>
      </c>
      <c r="AS45" s="104">
        <v>270875.44613820559</v>
      </c>
      <c r="AT45" s="104">
        <v>257888.29039782801</v>
      </c>
      <c r="AU45" s="104">
        <v>247596.63074763594</v>
      </c>
      <c r="AV45" s="104">
        <v>2118644.6871978305</v>
      </c>
      <c r="AW45" s="104">
        <v>115699.79263065418</v>
      </c>
      <c r="AX45" s="108">
        <f t="shared" si="24"/>
        <v>15725364.742620151</v>
      </c>
      <c r="AY45" s="106"/>
      <c r="AZ45" s="103">
        <v>521645.69724770653</v>
      </c>
      <c r="BA45" s="107">
        <v>0</v>
      </c>
      <c r="BB45" s="104">
        <v>1592596.2293577984</v>
      </c>
      <c r="BC45" s="104">
        <v>372086.95412844041</v>
      </c>
      <c r="BD45" s="104">
        <v>507631.49679032114</v>
      </c>
      <c r="BE45" s="104">
        <v>672029.86752107821</v>
      </c>
      <c r="BF45" s="104">
        <v>6258984.8083898788</v>
      </c>
      <c r="BG45" s="104">
        <v>467721.8595412845</v>
      </c>
      <c r="BH45" s="104">
        <v>322961.07339449547</v>
      </c>
      <c r="BI45" s="104">
        <v>390228.58416939317</v>
      </c>
      <c r="BJ45" s="104">
        <v>361496</v>
      </c>
      <c r="BK45" s="104">
        <v>390021.3093971631</v>
      </c>
      <c r="BL45" s="104">
        <v>418161.61836780439</v>
      </c>
      <c r="BM45" s="104">
        <v>386408.61052009457</v>
      </c>
      <c r="BN45" s="104">
        <v>351793.14889704285</v>
      </c>
      <c r="BO45" s="107">
        <v>343185.9010555555</v>
      </c>
      <c r="BP45" s="107">
        <v>343517.20754994085</v>
      </c>
      <c r="BQ45" s="107">
        <v>343695.14278648049</v>
      </c>
      <c r="BR45" s="107">
        <v>318483.21037079452</v>
      </c>
      <c r="BS45" s="107">
        <v>304518.30070217198</v>
      </c>
      <c r="BT45" s="104">
        <v>287577.77965236409</v>
      </c>
      <c r="BU45" s="104">
        <v>2837668.8873951845</v>
      </c>
      <c r="BV45" s="107">
        <v>0</v>
      </c>
      <c r="BW45" s="108">
        <f t="shared" si="25"/>
        <v>17792413.68723499</v>
      </c>
      <c r="BX45" s="106"/>
      <c r="BY45" s="109">
        <v>0</v>
      </c>
      <c r="BZ45" s="104">
        <v>0</v>
      </c>
      <c r="CA45" s="104">
        <v>0</v>
      </c>
      <c r="CB45" s="104">
        <v>0</v>
      </c>
      <c r="CC45" s="104">
        <v>0</v>
      </c>
      <c r="CD45" s="104">
        <v>0</v>
      </c>
      <c r="CE45" s="104">
        <v>0</v>
      </c>
      <c r="CF45" s="104">
        <v>0</v>
      </c>
      <c r="CG45" s="104">
        <v>0</v>
      </c>
      <c r="CH45" s="104">
        <v>0</v>
      </c>
      <c r="CI45" s="110">
        <v>0</v>
      </c>
      <c r="CJ45" s="110">
        <v>0</v>
      </c>
      <c r="CK45" s="110">
        <v>0</v>
      </c>
      <c r="CL45" s="110">
        <v>0</v>
      </c>
      <c r="CM45" s="110">
        <v>0</v>
      </c>
      <c r="CN45" s="107">
        <v>0</v>
      </c>
      <c r="CO45" s="107">
        <v>0</v>
      </c>
      <c r="CP45" s="107">
        <v>0</v>
      </c>
      <c r="CQ45" s="107">
        <v>0</v>
      </c>
      <c r="CR45" s="107">
        <v>0</v>
      </c>
      <c r="CS45" s="107">
        <v>0</v>
      </c>
      <c r="CT45" s="107">
        <v>0</v>
      </c>
      <c r="CU45" s="107">
        <v>0</v>
      </c>
      <c r="CV45" s="108">
        <f t="shared" si="26"/>
        <v>0</v>
      </c>
    </row>
    <row r="46" spans="1:100" s="3" customFormat="1">
      <c r="A46" s="3" t="s">
        <v>38</v>
      </c>
      <c r="B46" s="103">
        <f t="shared" si="27"/>
        <v>6182640</v>
      </c>
      <c r="C46" s="104">
        <f t="shared" si="28"/>
        <v>0</v>
      </c>
      <c r="D46" s="104">
        <f t="shared" si="29"/>
        <v>9094330</v>
      </c>
      <c r="E46" s="104">
        <f t="shared" si="30"/>
        <v>15053324.440000001</v>
      </c>
      <c r="F46" s="104">
        <f t="shared" si="31"/>
        <v>4335002.5913750026</v>
      </c>
      <c r="G46" s="104">
        <f t="shared" si="32"/>
        <v>8836016.07973288</v>
      </c>
      <c r="H46" s="104">
        <f t="shared" si="33"/>
        <v>78862072.554502785</v>
      </c>
      <c r="I46" s="104">
        <f t="shared" si="34"/>
        <v>5114962.0599999996</v>
      </c>
      <c r="J46" s="104">
        <f t="shared" si="35"/>
        <v>5049084</v>
      </c>
      <c r="K46" s="104">
        <f t="shared" si="36"/>
        <v>5163325.9730569934</v>
      </c>
      <c r="L46" s="104">
        <f t="shared" si="37"/>
        <v>5202944</v>
      </c>
      <c r="M46" s="104">
        <f t="shared" si="38"/>
        <v>4973624.4499999993</v>
      </c>
      <c r="N46" s="104">
        <f t="shared" si="39"/>
        <v>5300006.6793000009</v>
      </c>
      <c r="O46" s="104">
        <f t="shared" si="40"/>
        <v>4921817.2850000001</v>
      </c>
      <c r="P46" s="104">
        <f t="shared" si="41"/>
        <v>4498410.0301378202</v>
      </c>
      <c r="Q46" s="104">
        <f t="shared" si="42"/>
        <v>4372414.8139999993</v>
      </c>
      <c r="R46" s="104">
        <f t="shared" si="43"/>
        <v>4313142.1380000003</v>
      </c>
      <c r="S46" s="104">
        <f t="shared" si="44"/>
        <v>4368303.0369000006</v>
      </c>
      <c r="T46" s="104">
        <f t="shared" si="45"/>
        <v>4016213.6099769999</v>
      </c>
      <c r="U46" s="104">
        <f t="shared" si="46"/>
        <v>3834720.5183000001</v>
      </c>
      <c r="V46" s="104">
        <f t="shared" si="47"/>
        <v>36474745.804334618</v>
      </c>
      <c r="W46" s="104">
        <f t="shared" si="48"/>
        <v>65629</v>
      </c>
      <c r="X46" s="104">
        <f t="shared" si="49"/>
        <v>329969.65455228585</v>
      </c>
      <c r="Y46" s="105">
        <f t="shared" si="23"/>
        <v>220362698.71916941</v>
      </c>
      <c r="Z46" s="106"/>
      <c r="AA46" s="103">
        <v>1204617.6000000001</v>
      </c>
      <c r="AB46" s="107">
        <v>0</v>
      </c>
      <c r="AC46" s="104">
        <v>1786030.8903225809</v>
      </c>
      <c r="AD46" s="104">
        <v>4052333.6322580646</v>
      </c>
      <c r="AE46" s="104">
        <v>1777381.3583711293</v>
      </c>
      <c r="AF46" s="104">
        <v>1721597.9716640839</v>
      </c>
      <c r="AG46" s="104">
        <v>15365384.459006349</v>
      </c>
      <c r="AH46" s="104">
        <v>996592.60781935486</v>
      </c>
      <c r="AI46" s="104">
        <v>1195078.2322580647</v>
      </c>
      <c r="AJ46" s="104">
        <v>1181596.2216004624</v>
      </c>
      <c r="AK46" s="104">
        <v>1147383</v>
      </c>
      <c r="AL46" s="104">
        <v>1079583.1491269951</v>
      </c>
      <c r="AM46" s="104">
        <v>1125007.5493533351</v>
      </c>
      <c r="AN46" s="104">
        <v>1062645.5193489247</v>
      </c>
      <c r="AO46" s="104">
        <v>972267.90875531069</v>
      </c>
      <c r="AP46" s="104">
        <v>945983.35756932897</v>
      </c>
      <c r="AQ46" s="104">
        <v>883397.28715437581</v>
      </c>
      <c r="AR46" s="104">
        <v>937654.53772681614</v>
      </c>
      <c r="AS46" s="104">
        <v>836399.10884070874</v>
      </c>
      <c r="AT46" s="104">
        <v>794326.60070783354</v>
      </c>
      <c r="AU46" s="104">
        <v>7149051.0203032186</v>
      </c>
      <c r="AV46" s="104">
        <v>65629</v>
      </c>
      <c r="AW46" s="104">
        <v>329969.65455228585</v>
      </c>
      <c r="AX46" s="108">
        <f t="shared" si="24"/>
        <v>46609910.666739233</v>
      </c>
      <c r="AY46" s="106"/>
      <c r="AZ46" s="103">
        <v>4978022.4000000004</v>
      </c>
      <c r="BA46" s="107">
        <v>0</v>
      </c>
      <c r="BB46" s="104">
        <v>7308299.1096774191</v>
      </c>
      <c r="BC46" s="104">
        <v>11000990.807741936</v>
      </c>
      <c r="BD46" s="104">
        <v>2557621.2330038729</v>
      </c>
      <c r="BE46" s="104">
        <v>7114418.1080687968</v>
      </c>
      <c r="BF46" s="104">
        <v>63496688.095496431</v>
      </c>
      <c r="BG46" s="104">
        <v>4118369.452180645</v>
      </c>
      <c r="BH46" s="104">
        <v>3854005.7677419353</v>
      </c>
      <c r="BI46" s="104">
        <v>3981729.7514565308</v>
      </c>
      <c r="BJ46" s="104">
        <v>4055561</v>
      </c>
      <c r="BK46" s="104">
        <v>3894041.3008730044</v>
      </c>
      <c r="BL46" s="104">
        <v>4174999.1299466654</v>
      </c>
      <c r="BM46" s="104">
        <v>3859171.7656510752</v>
      </c>
      <c r="BN46" s="104">
        <v>3526142.1213825098</v>
      </c>
      <c r="BO46" s="107">
        <v>3426431.4564306708</v>
      </c>
      <c r="BP46" s="107">
        <v>3429744.8508456242</v>
      </c>
      <c r="BQ46" s="107">
        <v>3430648.4991731844</v>
      </c>
      <c r="BR46" s="107">
        <v>3179814.5011362913</v>
      </c>
      <c r="BS46" s="107">
        <v>3040393.9175921665</v>
      </c>
      <c r="BT46" s="104">
        <v>29325694.784031399</v>
      </c>
      <c r="BU46" s="104">
        <v>0</v>
      </c>
      <c r="BV46" s="107">
        <v>0</v>
      </c>
      <c r="BW46" s="108">
        <f t="shared" si="25"/>
        <v>173752788.05243018</v>
      </c>
      <c r="BX46" s="106"/>
      <c r="BY46" s="109">
        <v>0</v>
      </c>
      <c r="BZ46" s="104">
        <v>0</v>
      </c>
      <c r="CA46" s="104">
        <v>0</v>
      </c>
      <c r="CB46" s="104">
        <v>0</v>
      </c>
      <c r="CC46" s="104">
        <v>0</v>
      </c>
      <c r="CD46" s="104">
        <v>0</v>
      </c>
      <c r="CE46" s="104">
        <v>0</v>
      </c>
      <c r="CF46" s="104">
        <v>0</v>
      </c>
      <c r="CG46" s="104">
        <v>0</v>
      </c>
      <c r="CH46" s="104">
        <v>0</v>
      </c>
      <c r="CI46" s="110">
        <v>0</v>
      </c>
      <c r="CJ46" s="110">
        <v>0</v>
      </c>
      <c r="CK46" s="110">
        <v>0</v>
      </c>
      <c r="CL46" s="110">
        <v>0</v>
      </c>
      <c r="CM46" s="110">
        <v>0</v>
      </c>
      <c r="CN46" s="107">
        <v>0</v>
      </c>
      <c r="CO46" s="107">
        <v>0</v>
      </c>
      <c r="CP46" s="107">
        <v>0</v>
      </c>
      <c r="CQ46" s="107">
        <v>0</v>
      </c>
      <c r="CR46" s="107">
        <v>0</v>
      </c>
      <c r="CS46" s="107">
        <v>0</v>
      </c>
      <c r="CT46" s="107">
        <v>0</v>
      </c>
      <c r="CU46" s="107">
        <v>0</v>
      </c>
      <c r="CV46" s="108">
        <f t="shared" si="26"/>
        <v>0</v>
      </c>
    </row>
    <row r="47" spans="1:100" s="3" customFormat="1">
      <c r="A47" s="3" t="s">
        <v>39</v>
      </c>
      <c r="B47" s="103">
        <f t="shared" si="27"/>
        <v>28301</v>
      </c>
      <c r="C47" s="104">
        <f t="shared" si="28"/>
        <v>0</v>
      </c>
      <c r="D47" s="104">
        <f t="shared" si="29"/>
        <v>113790</v>
      </c>
      <c r="E47" s="104">
        <f t="shared" si="30"/>
        <v>1957</v>
      </c>
      <c r="F47" s="104">
        <f t="shared" si="31"/>
        <v>22519.99242000001</v>
      </c>
      <c r="G47" s="104">
        <f t="shared" si="32"/>
        <v>53516.94658708926</v>
      </c>
      <c r="H47" s="104">
        <f t="shared" si="33"/>
        <v>406747.77635286743</v>
      </c>
      <c r="I47" s="104">
        <f t="shared" si="34"/>
        <v>26682.82</v>
      </c>
      <c r="J47" s="104">
        <f t="shared" si="35"/>
        <v>24475</v>
      </c>
      <c r="K47" s="104">
        <f t="shared" si="36"/>
        <v>25547.443001373886</v>
      </c>
      <c r="L47" s="104">
        <f t="shared" si="37"/>
        <v>-24068</v>
      </c>
      <c r="M47" s="104">
        <f t="shared" si="38"/>
        <v>24883</v>
      </c>
      <c r="N47" s="104">
        <f t="shared" si="39"/>
        <v>26676.433600000004</v>
      </c>
      <c r="O47" s="104">
        <f t="shared" si="40"/>
        <v>24681</v>
      </c>
      <c r="P47" s="104">
        <f t="shared" si="41"/>
        <v>22658.88643575168</v>
      </c>
      <c r="Q47" s="104">
        <f t="shared" si="42"/>
        <v>22115.508000000002</v>
      </c>
      <c r="R47" s="104">
        <f t="shared" si="43"/>
        <v>132282.486</v>
      </c>
      <c r="S47" s="104">
        <f t="shared" si="44"/>
        <v>21971.558799999999</v>
      </c>
      <c r="T47" s="104">
        <f t="shared" si="45"/>
        <v>20318.868404000001</v>
      </c>
      <c r="U47" s="104">
        <f t="shared" si="46"/>
        <v>19436.821599999999</v>
      </c>
      <c r="V47" s="104">
        <f t="shared" si="47"/>
        <v>18344.572400000001</v>
      </c>
      <c r="W47" s="104">
        <f t="shared" si="48"/>
        <v>18025.409599999999</v>
      </c>
      <c r="X47" s="104">
        <f t="shared" si="49"/>
        <v>161529.97731023951</v>
      </c>
      <c r="Y47" s="105">
        <f t="shared" si="23"/>
        <v>1192394.5005113217</v>
      </c>
      <c r="Z47" s="106"/>
      <c r="AA47" s="103">
        <v>14150.5</v>
      </c>
      <c r="AB47" s="107">
        <v>0</v>
      </c>
      <c r="AC47" s="104">
        <v>56795</v>
      </c>
      <c r="AD47" s="104">
        <v>1082.5</v>
      </c>
      <c r="AE47" s="104">
        <v>11259.996210000005</v>
      </c>
      <c r="AF47" s="104">
        <v>26758.47329354463</v>
      </c>
      <c r="AG47" s="104">
        <v>203373.88817643371</v>
      </c>
      <c r="AH47" s="104">
        <v>13341.41</v>
      </c>
      <c r="AI47" s="104">
        <v>12237.5</v>
      </c>
      <c r="AJ47" s="104">
        <v>12773.721500686943</v>
      </c>
      <c r="AK47" s="104">
        <v>-12923</v>
      </c>
      <c r="AL47" s="104">
        <v>13301.058865331725</v>
      </c>
      <c r="AM47" s="104">
        <v>14259.728072608332</v>
      </c>
      <c r="AN47" s="104">
        <v>13201.09913347395</v>
      </c>
      <c r="AO47" s="104">
        <v>12120.190418670561</v>
      </c>
      <c r="AP47" s="104">
        <v>11821.712564590873</v>
      </c>
      <c r="AQ47" s="104">
        <v>122023.94513138033</v>
      </c>
      <c r="AR47" s="104">
        <v>11744.765380456427</v>
      </c>
      <c r="AS47" s="104">
        <v>10861.329611322304</v>
      </c>
      <c r="AT47" s="104">
        <v>10389.836766328463</v>
      </c>
      <c r="AU47" s="104">
        <v>9805.9814874307631</v>
      </c>
      <c r="AV47" s="104">
        <v>9635.3749210832921</v>
      </c>
      <c r="AW47" s="104">
        <v>86344.883523658456</v>
      </c>
      <c r="AX47" s="108">
        <f t="shared" si="24"/>
        <v>664359.8950570008</v>
      </c>
      <c r="AY47" s="106"/>
      <c r="AZ47" s="103">
        <v>14150.5</v>
      </c>
      <c r="BA47" s="107">
        <v>0</v>
      </c>
      <c r="BB47" s="104">
        <v>56995</v>
      </c>
      <c r="BC47" s="104">
        <v>874.5</v>
      </c>
      <c r="BD47" s="104">
        <v>11259.996210000005</v>
      </c>
      <c r="BE47" s="104">
        <v>26758.47329354463</v>
      </c>
      <c r="BF47" s="104">
        <v>203373.88817643371</v>
      </c>
      <c r="BG47" s="104">
        <v>13341.41</v>
      </c>
      <c r="BH47" s="104">
        <v>12237.5</v>
      </c>
      <c r="BI47" s="104">
        <v>12773.721500686943</v>
      </c>
      <c r="BJ47" s="104">
        <v>-11145</v>
      </c>
      <c r="BK47" s="104">
        <v>11581.941134668277</v>
      </c>
      <c r="BL47" s="104">
        <v>12416.70552739167</v>
      </c>
      <c r="BM47" s="104">
        <v>11479.900866526052</v>
      </c>
      <c r="BN47" s="104">
        <v>10538.696017081116</v>
      </c>
      <c r="BO47" s="107">
        <v>10293.795435409129</v>
      </c>
      <c r="BP47" s="107">
        <v>10258.540868619673</v>
      </c>
      <c r="BQ47" s="107">
        <v>10226.793419543574</v>
      </c>
      <c r="BR47" s="107">
        <v>9457.5387926776984</v>
      </c>
      <c r="BS47" s="107">
        <v>9046.9848336715368</v>
      </c>
      <c r="BT47" s="104">
        <v>8538.5909125692378</v>
      </c>
      <c r="BU47" s="104">
        <v>8390.034678916707</v>
      </c>
      <c r="BV47" s="107">
        <v>75185.093786581041</v>
      </c>
      <c r="BW47" s="108">
        <f t="shared" si="25"/>
        <v>528034.60545432102</v>
      </c>
      <c r="BX47" s="106"/>
      <c r="BY47" s="109">
        <v>0</v>
      </c>
      <c r="BZ47" s="104">
        <v>0</v>
      </c>
      <c r="CA47" s="104">
        <v>0</v>
      </c>
      <c r="CB47" s="104">
        <v>0</v>
      </c>
      <c r="CC47" s="104">
        <v>0</v>
      </c>
      <c r="CD47" s="104">
        <v>0</v>
      </c>
      <c r="CE47" s="104">
        <v>0</v>
      </c>
      <c r="CF47" s="104">
        <v>0</v>
      </c>
      <c r="CG47" s="104">
        <v>0</v>
      </c>
      <c r="CH47" s="104">
        <v>0</v>
      </c>
      <c r="CI47" s="110">
        <v>0</v>
      </c>
      <c r="CJ47" s="110">
        <v>0</v>
      </c>
      <c r="CK47" s="110">
        <v>0</v>
      </c>
      <c r="CL47" s="110">
        <v>0</v>
      </c>
      <c r="CM47" s="110">
        <v>0</v>
      </c>
      <c r="CN47" s="107">
        <v>0</v>
      </c>
      <c r="CO47" s="107">
        <v>0</v>
      </c>
      <c r="CP47" s="107">
        <v>0</v>
      </c>
      <c r="CQ47" s="107">
        <v>0</v>
      </c>
      <c r="CR47" s="107">
        <v>0</v>
      </c>
      <c r="CS47" s="107">
        <v>0</v>
      </c>
      <c r="CT47" s="107">
        <v>0</v>
      </c>
      <c r="CU47" s="107">
        <v>0</v>
      </c>
      <c r="CV47" s="108">
        <f t="shared" si="26"/>
        <v>0</v>
      </c>
    </row>
    <row r="48" spans="1:100" s="3" customFormat="1">
      <c r="A48" s="3" t="s">
        <v>40</v>
      </c>
      <c r="B48" s="103">
        <f t="shared" si="27"/>
        <v>702075</v>
      </c>
      <c r="C48" s="104">
        <f t="shared" si="28"/>
        <v>0</v>
      </c>
      <c r="D48" s="104">
        <f t="shared" si="29"/>
        <v>1015613</v>
      </c>
      <c r="E48" s="104">
        <f t="shared" si="30"/>
        <v>1632043.18</v>
      </c>
      <c r="F48" s="104">
        <f t="shared" si="31"/>
        <v>471683.73945000052</v>
      </c>
      <c r="G48" s="104">
        <f t="shared" si="32"/>
        <v>1167401.2167389193</v>
      </c>
      <c r="H48" s="104">
        <f t="shared" si="33"/>
        <v>9166085.685090676</v>
      </c>
      <c r="I48" s="104">
        <f t="shared" si="34"/>
        <v>595353.91999999993</v>
      </c>
      <c r="J48" s="104">
        <f t="shared" si="35"/>
        <v>596066</v>
      </c>
      <c r="K48" s="104">
        <f t="shared" si="36"/>
        <v>615642.49919355381</v>
      </c>
      <c r="L48" s="104">
        <f t="shared" si="37"/>
        <v>626148</v>
      </c>
      <c r="M48" s="104">
        <f t="shared" si="38"/>
        <v>577466.79</v>
      </c>
      <c r="N48" s="104">
        <f t="shared" si="39"/>
        <v>617199.90100000007</v>
      </c>
      <c r="O48" s="104">
        <f t="shared" si="40"/>
        <v>566968.37</v>
      </c>
      <c r="P48" s="104">
        <f t="shared" si="41"/>
        <v>518798.74337140704</v>
      </c>
      <c r="Q48" s="104">
        <f t="shared" si="42"/>
        <v>504455.38</v>
      </c>
      <c r="R48" s="104">
        <f t="shared" si="43"/>
        <v>493353.25000000006</v>
      </c>
      <c r="S48" s="104">
        <f t="shared" si="44"/>
        <v>504655.57299999997</v>
      </c>
      <c r="T48" s="104">
        <f t="shared" si="45"/>
        <v>469222.53408999991</v>
      </c>
      <c r="U48" s="104">
        <f t="shared" si="46"/>
        <v>448758.951</v>
      </c>
      <c r="V48" s="104">
        <f t="shared" si="47"/>
        <v>424267.43399999995</v>
      </c>
      <c r="W48" s="104">
        <f t="shared" si="48"/>
        <v>4065980.4873908949</v>
      </c>
      <c r="X48" s="104">
        <f t="shared" si="49"/>
        <v>-18562.647070762006</v>
      </c>
      <c r="Y48" s="105">
        <f t="shared" si="23"/>
        <v>25760677.007254694</v>
      </c>
      <c r="Z48" s="106"/>
      <c r="AA48" s="103">
        <v>78008.333333333328</v>
      </c>
      <c r="AB48" s="107">
        <v>0</v>
      </c>
      <c r="AC48" s="104">
        <v>113328</v>
      </c>
      <c r="AD48" s="104">
        <v>317189.40222222218</v>
      </c>
      <c r="AE48" s="104">
        <v>137195.22438333341</v>
      </c>
      <c r="AF48" s="104">
        <v>129711.24630432436</v>
      </c>
      <c r="AG48" s="104">
        <v>1018453.9650100751</v>
      </c>
      <c r="AH48" s="104">
        <v>66150.435555555552</v>
      </c>
      <c r="AI48" s="104">
        <v>99087.333333333328</v>
      </c>
      <c r="AJ48" s="104">
        <v>105077.51032554431</v>
      </c>
      <c r="AK48" s="104">
        <v>100216</v>
      </c>
      <c r="AL48" s="104">
        <v>78835.715755864614</v>
      </c>
      <c r="AM48" s="104">
        <v>82606.522503837186</v>
      </c>
      <c r="AN48" s="104">
        <v>72706.295367125931</v>
      </c>
      <c r="AO48" s="104">
        <v>67763.080396214369</v>
      </c>
      <c r="AP48" s="104">
        <v>66061.987278523346</v>
      </c>
      <c r="AQ48" s="104">
        <v>53955.434422292208</v>
      </c>
      <c r="AR48" s="104">
        <v>65250.344664761869</v>
      </c>
      <c r="AS48" s="104">
        <v>62045.869064041646</v>
      </c>
      <c r="AT48" s="104">
        <v>59435.589710720073</v>
      </c>
      <c r="AU48" s="104">
        <v>56606.564726636978</v>
      </c>
      <c r="AV48" s="104">
        <v>441386.54567417206</v>
      </c>
      <c r="AW48" s="104">
        <v>-18562.647070762006</v>
      </c>
      <c r="AX48" s="108">
        <f t="shared" si="24"/>
        <v>3252508.752961149</v>
      </c>
      <c r="AY48" s="106"/>
      <c r="AZ48" s="103">
        <v>624066.66666666663</v>
      </c>
      <c r="BA48" s="107">
        <v>0</v>
      </c>
      <c r="BB48" s="104">
        <v>902285</v>
      </c>
      <c r="BC48" s="104">
        <v>1314853.7777777778</v>
      </c>
      <c r="BD48" s="104">
        <v>334488.51506666711</v>
      </c>
      <c r="BE48" s="104">
        <v>1037689.9704345949</v>
      </c>
      <c r="BF48" s="104">
        <v>8147631.7200806011</v>
      </c>
      <c r="BG48" s="104">
        <v>529203.48444444442</v>
      </c>
      <c r="BH48" s="104">
        <v>496978.66666666663</v>
      </c>
      <c r="BI48" s="104">
        <v>510564.98886800947</v>
      </c>
      <c r="BJ48" s="104">
        <v>525932</v>
      </c>
      <c r="BK48" s="104">
        <v>498631.07424413541</v>
      </c>
      <c r="BL48" s="104">
        <v>534593.37849616283</v>
      </c>
      <c r="BM48" s="104">
        <v>494262.07463287411</v>
      </c>
      <c r="BN48" s="104">
        <v>451035.66297519265</v>
      </c>
      <c r="BO48" s="107">
        <v>438393.39272147667</v>
      </c>
      <c r="BP48" s="107">
        <v>439397.81557770784</v>
      </c>
      <c r="BQ48" s="107">
        <v>439405.22833523812</v>
      </c>
      <c r="BR48" s="107">
        <v>407176.66502595827</v>
      </c>
      <c r="BS48" s="107">
        <v>389323.36128927994</v>
      </c>
      <c r="BT48" s="104">
        <v>367660.86927336297</v>
      </c>
      <c r="BU48" s="104">
        <v>3624593.9417167227</v>
      </c>
      <c r="BV48" s="107">
        <v>0</v>
      </c>
      <c r="BW48" s="108">
        <f t="shared" si="25"/>
        <v>22508168.254293542</v>
      </c>
      <c r="BX48" s="106"/>
      <c r="BY48" s="109">
        <v>0</v>
      </c>
      <c r="BZ48" s="104">
        <v>0</v>
      </c>
      <c r="CA48" s="104">
        <v>0</v>
      </c>
      <c r="CB48" s="104">
        <v>0</v>
      </c>
      <c r="CC48" s="104">
        <v>0</v>
      </c>
      <c r="CD48" s="104">
        <v>0</v>
      </c>
      <c r="CE48" s="104">
        <v>0</v>
      </c>
      <c r="CF48" s="104">
        <v>0</v>
      </c>
      <c r="CG48" s="104">
        <v>0</v>
      </c>
      <c r="CH48" s="104">
        <v>0</v>
      </c>
      <c r="CI48" s="110">
        <v>0</v>
      </c>
      <c r="CJ48" s="110">
        <v>0</v>
      </c>
      <c r="CK48" s="110">
        <v>0</v>
      </c>
      <c r="CL48" s="110">
        <v>0</v>
      </c>
      <c r="CM48" s="110">
        <v>0</v>
      </c>
      <c r="CN48" s="107">
        <v>0</v>
      </c>
      <c r="CO48" s="107">
        <v>0</v>
      </c>
      <c r="CP48" s="107">
        <v>0</v>
      </c>
      <c r="CQ48" s="107">
        <v>0</v>
      </c>
      <c r="CR48" s="107">
        <v>0</v>
      </c>
      <c r="CS48" s="107">
        <v>0</v>
      </c>
      <c r="CT48" s="107">
        <v>0</v>
      </c>
      <c r="CU48" s="107">
        <v>0</v>
      </c>
      <c r="CV48" s="108">
        <f t="shared" si="26"/>
        <v>0</v>
      </c>
    </row>
    <row r="49" spans="1:100" s="3" customFormat="1">
      <c r="A49" s="3" t="s">
        <v>41</v>
      </c>
      <c r="B49" s="103">
        <f t="shared" si="27"/>
        <v>1179219.0000000002</v>
      </c>
      <c r="C49" s="104">
        <f t="shared" si="28"/>
        <v>0</v>
      </c>
      <c r="D49" s="104">
        <f t="shared" si="29"/>
        <v>1643106.0000000002</v>
      </c>
      <c r="E49" s="104">
        <f t="shared" si="30"/>
        <v>2064579.0000000002</v>
      </c>
      <c r="F49" s="104">
        <f t="shared" si="31"/>
        <v>1124677.5965949998</v>
      </c>
      <c r="G49" s="104">
        <f t="shared" si="32"/>
        <v>1959903.4082317813</v>
      </c>
      <c r="H49" s="104">
        <f t="shared" si="33"/>
        <v>14153984.752152637</v>
      </c>
      <c r="I49" s="104">
        <f t="shared" si="34"/>
        <v>987641.23000000021</v>
      </c>
      <c r="J49" s="104">
        <f t="shared" si="35"/>
        <v>857322.00000000012</v>
      </c>
      <c r="K49" s="104">
        <f t="shared" si="36"/>
        <v>936379.56532259251</v>
      </c>
      <c r="L49" s="104">
        <f t="shared" si="37"/>
        <v>1027778</v>
      </c>
      <c r="M49" s="104">
        <f t="shared" si="38"/>
        <v>880137.40999999992</v>
      </c>
      <c r="N49" s="104">
        <f t="shared" si="39"/>
        <v>959787.04599999997</v>
      </c>
      <c r="O49" s="104">
        <f t="shared" si="40"/>
        <v>869737.54499999993</v>
      </c>
      <c r="P49" s="104">
        <f t="shared" si="41"/>
        <v>801843.10711911786</v>
      </c>
      <c r="Q49" s="104">
        <f t="shared" si="42"/>
        <v>773090.96</v>
      </c>
      <c r="R49" s="104">
        <f t="shared" si="43"/>
        <v>778056.71</v>
      </c>
      <c r="S49" s="104">
        <f t="shared" si="44"/>
        <v>771260.55800000008</v>
      </c>
      <c r="T49" s="104">
        <f t="shared" si="45"/>
        <v>716696.38413999998</v>
      </c>
      <c r="U49" s="104">
        <f t="shared" si="46"/>
        <v>681309.696</v>
      </c>
      <c r="V49" s="104">
        <f t="shared" si="47"/>
        <v>642218.11399999994</v>
      </c>
      <c r="W49" s="104">
        <f t="shared" si="48"/>
        <v>6341153.4780823402</v>
      </c>
      <c r="X49" s="104">
        <f t="shared" si="49"/>
        <v>10402.523507423233</v>
      </c>
      <c r="Y49" s="105">
        <f t="shared" si="23"/>
        <v>40160284.084150888</v>
      </c>
      <c r="Z49" s="106"/>
      <c r="AA49" s="103">
        <v>500531.80575539573</v>
      </c>
      <c r="AB49" s="107">
        <v>0</v>
      </c>
      <c r="AC49" s="104">
        <v>678486.84892086335</v>
      </c>
      <c r="AD49" s="104">
        <v>883337.38848920865</v>
      </c>
      <c r="AE49" s="104">
        <v>794994.72661226604</v>
      </c>
      <c r="AF49" s="104">
        <v>831901.44665953296</v>
      </c>
      <c r="AG49" s="104">
        <v>6007806.4775324138</v>
      </c>
      <c r="AH49" s="104">
        <v>419214.62280575541</v>
      </c>
      <c r="AI49" s="104">
        <v>388256.10071942449</v>
      </c>
      <c r="AJ49" s="104">
        <v>425854.72466499126</v>
      </c>
      <c r="AK49" s="104">
        <v>462210</v>
      </c>
      <c r="AL49" s="104">
        <v>382767.12516704615</v>
      </c>
      <c r="AM49" s="104">
        <v>426516.54712026846</v>
      </c>
      <c r="AN49" s="104">
        <v>376997.35626300937</v>
      </c>
      <c r="AO49" s="104">
        <v>350486.74105871044</v>
      </c>
      <c r="AP49" s="104">
        <v>335806.5091783175</v>
      </c>
      <c r="AQ49" s="104">
        <v>340153.20623508038</v>
      </c>
      <c r="AR49" s="104">
        <v>333447.44386886025</v>
      </c>
      <c r="AS49" s="104">
        <v>310592.15700003592</v>
      </c>
      <c r="AT49" s="104">
        <v>292966.59793935885</v>
      </c>
      <c r="AU49" s="104">
        <v>275499.02593843552</v>
      </c>
      <c r="AV49" s="104">
        <v>2720882.5238169874</v>
      </c>
      <c r="AW49" s="104">
        <v>10402.523507423233</v>
      </c>
      <c r="AX49" s="108">
        <f t="shared" si="24"/>
        <v>17549111.899253387</v>
      </c>
      <c r="AY49" s="106"/>
      <c r="AZ49" s="103">
        <v>678687.19424460444</v>
      </c>
      <c r="BA49" s="107">
        <v>0</v>
      </c>
      <c r="BB49" s="104">
        <v>964619.15107913688</v>
      </c>
      <c r="BC49" s="104">
        <v>1181241.6115107916</v>
      </c>
      <c r="BD49" s="104">
        <v>329682.86998273368</v>
      </c>
      <c r="BE49" s="104">
        <v>1128001.9615722483</v>
      </c>
      <c r="BF49" s="104">
        <v>8146178.2746202219</v>
      </c>
      <c r="BG49" s="104">
        <v>568426.60719424475</v>
      </c>
      <c r="BH49" s="104">
        <v>469065.89928057563</v>
      </c>
      <c r="BI49" s="104">
        <v>510524.84065760125</v>
      </c>
      <c r="BJ49" s="104">
        <v>565568</v>
      </c>
      <c r="BK49" s="104">
        <v>497370.28483295382</v>
      </c>
      <c r="BL49" s="104">
        <v>533270.49887973152</v>
      </c>
      <c r="BM49" s="104">
        <v>492740.18873699062</v>
      </c>
      <c r="BN49" s="104">
        <v>451356.36606040742</v>
      </c>
      <c r="BO49" s="107">
        <v>437284.45082168252</v>
      </c>
      <c r="BP49" s="107">
        <v>437903.50376491959</v>
      </c>
      <c r="BQ49" s="107">
        <v>437813.11413113982</v>
      </c>
      <c r="BR49" s="107">
        <v>406104.22713996406</v>
      </c>
      <c r="BS49" s="107">
        <v>388343.09806064115</v>
      </c>
      <c r="BT49" s="104">
        <v>366719.08806156443</v>
      </c>
      <c r="BU49" s="104">
        <v>3620270.9542653528</v>
      </c>
      <c r="BV49" s="107">
        <v>0</v>
      </c>
      <c r="BW49" s="108">
        <f t="shared" si="25"/>
        <v>22611172.184897508</v>
      </c>
      <c r="BX49" s="106"/>
      <c r="BY49" s="109">
        <v>0</v>
      </c>
      <c r="BZ49" s="104">
        <v>0</v>
      </c>
      <c r="CA49" s="104">
        <v>0</v>
      </c>
      <c r="CB49" s="104">
        <v>0</v>
      </c>
      <c r="CC49" s="104">
        <v>0</v>
      </c>
      <c r="CD49" s="104">
        <v>0</v>
      </c>
      <c r="CE49" s="104">
        <v>0</v>
      </c>
      <c r="CF49" s="104">
        <v>0</v>
      </c>
      <c r="CG49" s="104">
        <v>0</v>
      </c>
      <c r="CH49" s="104">
        <v>0</v>
      </c>
      <c r="CI49" s="110">
        <v>0</v>
      </c>
      <c r="CJ49" s="110">
        <v>0</v>
      </c>
      <c r="CK49" s="110">
        <v>0</v>
      </c>
      <c r="CL49" s="110">
        <v>0</v>
      </c>
      <c r="CM49" s="110">
        <v>0</v>
      </c>
      <c r="CN49" s="107">
        <v>0</v>
      </c>
      <c r="CO49" s="107">
        <v>0</v>
      </c>
      <c r="CP49" s="107">
        <v>0</v>
      </c>
      <c r="CQ49" s="107">
        <v>0</v>
      </c>
      <c r="CR49" s="107">
        <v>0</v>
      </c>
      <c r="CS49" s="107">
        <v>0</v>
      </c>
      <c r="CT49" s="107">
        <v>0</v>
      </c>
      <c r="CU49" s="107">
        <v>0</v>
      </c>
      <c r="CV49" s="108">
        <f t="shared" si="26"/>
        <v>0</v>
      </c>
    </row>
    <row r="50" spans="1:100" s="3" customFormat="1">
      <c r="A50" s="3" t="s">
        <v>42</v>
      </c>
      <c r="B50" s="103">
        <f t="shared" si="27"/>
        <v>268943</v>
      </c>
      <c r="C50" s="104">
        <f t="shared" si="28"/>
        <v>0</v>
      </c>
      <c r="D50" s="104">
        <f t="shared" si="29"/>
        <v>794113</v>
      </c>
      <c r="E50" s="104">
        <f t="shared" si="30"/>
        <v>431849.04000000004</v>
      </c>
      <c r="F50" s="104">
        <f t="shared" si="31"/>
        <v>343333.79936000006</v>
      </c>
      <c r="G50" s="104">
        <f t="shared" si="32"/>
        <v>375185.88820146525</v>
      </c>
      <c r="H50" s="104">
        <f t="shared" si="33"/>
        <v>3267473.1844304847</v>
      </c>
      <c r="I50" s="104">
        <f t="shared" si="34"/>
        <v>258414.21000000002</v>
      </c>
      <c r="J50" s="104">
        <f t="shared" si="35"/>
        <v>182545</v>
      </c>
      <c r="K50" s="104">
        <f t="shared" si="36"/>
        <v>223836.06979129632</v>
      </c>
      <c r="L50" s="104">
        <f t="shared" si="37"/>
        <v>255180</v>
      </c>
      <c r="M50" s="104">
        <f t="shared" si="38"/>
        <v>216824.58000000002</v>
      </c>
      <c r="N50" s="104">
        <f t="shared" si="39"/>
        <v>227015.00880000001</v>
      </c>
      <c r="O50" s="104">
        <f t="shared" si="40"/>
        <v>211471.75</v>
      </c>
      <c r="P50" s="104">
        <f t="shared" si="41"/>
        <v>193673.60221731823</v>
      </c>
      <c r="Q50" s="104">
        <f t="shared" si="42"/>
        <v>186506.04399999999</v>
      </c>
      <c r="R50" s="104">
        <f t="shared" si="43"/>
        <v>176941.83800000005</v>
      </c>
      <c r="S50" s="104">
        <f t="shared" si="44"/>
        <v>183301.47039999999</v>
      </c>
      <c r="T50" s="104">
        <f t="shared" si="45"/>
        <v>167350.94723200001</v>
      </c>
      <c r="U50" s="104">
        <f t="shared" si="46"/>
        <v>161015.56279999999</v>
      </c>
      <c r="V50" s="104">
        <f t="shared" si="47"/>
        <v>153002.5992</v>
      </c>
      <c r="W50" s="104">
        <f t="shared" si="48"/>
        <v>1455404.7661599731</v>
      </c>
      <c r="X50" s="104">
        <f t="shared" si="49"/>
        <v>32524.854794355197</v>
      </c>
      <c r="Y50" s="105">
        <f t="shared" si="23"/>
        <v>9765906.2153868936</v>
      </c>
      <c r="Z50" s="106"/>
      <c r="AA50" s="103">
        <v>184898.3125</v>
      </c>
      <c r="AB50" s="107">
        <v>0</v>
      </c>
      <c r="AC50" s="104">
        <v>531249.8125</v>
      </c>
      <c r="AD50" s="104">
        <v>352770.29000000004</v>
      </c>
      <c r="AE50" s="104">
        <v>263441.50581000006</v>
      </c>
      <c r="AF50" s="104">
        <v>257940.29813850735</v>
      </c>
      <c r="AG50" s="104">
        <v>2246387.8142959583</v>
      </c>
      <c r="AH50" s="104">
        <v>177659.769375</v>
      </c>
      <c r="AI50" s="104">
        <v>130934.6875</v>
      </c>
      <c r="AJ50" s="104">
        <v>159716.08418001441</v>
      </c>
      <c r="AK50" s="104">
        <v>181073</v>
      </c>
      <c r="AL50" s="104">
        <v>155450.94365551096</v>
      </c>
      <c r="AM50" s="104">
        <v>161213.52804771878</v>
      </c>
      <c r="AN50" s="104">
        <v>150726.44058867055</v>
      </c>
      <c r="AO50" s="104">
        <v>138298.83021983731</v>
      </c>
      <c r="AP50" s="104">
        <v>132524.8307359902</v>
      </c>
      <c r="AQ50" s="104">
        <v>122885.9991397671</v>
      </c>
      <c r="AR50" s="104">
        <v>129219.93589645153</v>
      </c>
      <c r="AS50" s="104">
        <v>117234.49432168737</v>
      </c>
      <c r="AT50" s="104">
        <v>113096.58354220234</v>
      </c>
      <c r="AU50" s="104">
        <v>107749.60139255668</v>
      </c>
      <c r="AV50" s="104">
        <v>1008677.3304925637</v>
      </c>
      <c r="AW50" s="104">
        <v>32524.854794355197</v>
      </c>
      <c r="AX50" s="108">
        <f t="shared" si="24"/>
        <v>6855674.9471267918</v>
      </c>
      <c r="AY50" s="106"/>
      <c r="AZ50" s="103">
        <v>84044.6875</v>
      </c>
      <c r="BA50" s="107">
        <v>0</v>
      </c>
      <c r="BB50" s="104">
        <v>262863.1875</v>
      </c>
      <c r="BC50" s="104">
        <v>79078.75</v>
      </c>
      <c r="BD50" s="104">
        <v>79892.293550000031</v>
      </c>
      <c r="BE50" s="104">
        <v>117245.5900629579</v>
      </c>
      <c r="BF50" s="104">
        <v>1021085.3701345264</v>
      </c>
      <c r="BG50" s="104">
        <v>80754.440625000003</v>
      </c>
      <c r="BH50" s="104">
        <v>51610.3125</v>
      </c>
      <c r="BI50" s="104">
        <v>64119.985611281911</v>
      </c>
      <c r="BJ50" s="104">
        <v>74107</v>
      </c>
      <c r="BK50" s="104">
        <v>61373.636344489074</v>
      </c>
      <c r="BL50" s="104">
        <v>65801.480752281248</v>
      </c>
      <c r="BM50" s="104">
        <v>60745.309411329465</v>
      </c>
      <c r="BN50" s="104">
        <v>55374.771997480908</v>
      </c>
      <c r="BO50" s="107">
        <v>53981.213264009813</v>
      </c>
      <c r="BP50" s="107">
        <v>54055.838860232936</v>
      </c>
      <c r="BQ50" s="107">
        <v>54081.534503548464</v>
      </c>
      <c r="BR50" s="107">
        <v>50116.452910312648</v>
      </c>
      <c r="BS50" s="107">
        <v>47918.97925779764</v>
      </c>
      <c r="BT50" s="104">
        <v>45252.997807443309</v>
      </c>
      <c r="BU50" s="104">
        <v>446727.43566740939</v>
      </c>
      <c r="BV50" s="107">
        <v>0</v>
      </c>
      <c r="BW50" s="108">
        <f t="shared" si="25"/>
        <v>2910231.2682601013</v>
      </c>
      <c r="BX50" s="106"/>
      <c r="BY50" s="109">
        <v>0</v>
      </c>
      <c r="BZ50" s="104">
        <v>0</v>
      </c>
      <c r="CA50" s="104">
        <v>0</v>
      </c>
      <c r="CB50" s="104">
        <v>0</v>
      </c>
      <c r="CC50" s="104">
        <v>0</v>
      </c>
      <c r="CD50" s="104">
        <v>0</v>
      </c>
      <c r="CE50" s="104">
        <v>0</v>
      </c>
      <c r="CF50" s="104">
        <v>0</v>
      </c>
      <c r="CG50" s="104">
        <v>0</v>
      </c>
      <c r="CH50" s="104">
        <v>0</v>
      </c>
      <c r="CI50" s="110">
        <v>0</v>
      </c>
      <c r="CJ50" s="110">
        <v>0</v>
      </c>
      <c r="CK50" s="110">
        <v>0</v>
      </c>
      <c r="CL50" s="110">
        <v>0</v>
      </c>
      <c r="CM50" s="110">
        <v>0</v>
      </c>
      <c r="CN50" s="107">
        <v>0</v>
      </c>
      <c r="CO50" s="107">
        <v>0</v>
      </c>
      <c r="CP50" s="107">
        <v>0</v>
      </c>
      <c r="CQ50" s="107">
        <v>0</v>
      </c>
      <c r="CR50" s="107">
        <v>0</v>
      </c>
      <c r="CS50" s="107">
        <v>0</v>
      </c>
      <c r="CT50" s="107">
        <v>0</v>
      </c>
      <c r="CU50" s="107">
        <v>0</v>
      </c>
      <c r="CV50" s="108">
        <f t="shared" si="26"/>
        <v>0</v>
      </c>
    </row>
    <row r="51" spans="1:100" s="3" customFormat="1">
      <c r="A51" s="3" t="s">
        <v>43</v>
      </c>
      <c r="B51" s="103">
        <f t="shared" si="27"/>
        <v>1152123</v>
      </c>
      <c r="C51" s="104">
        <f t="shared" si="28"/>
        <v>0</v>
      </c>
      <c r="D51" s="104">
        <f t="shared" si="29"/>
        <v>3352822</v>
      </c>
      <c r="E51" s="104">
        <f t="shared" si="30"/>
        <v>1906977.69</v>
      </c>
      <c r="F51" s="104">
        <f t="shared" si="31"/>
        <v>1484497.8198600002</v>
      </c>
      <c r="G51" s="104">
        <f t="shared" si="32"/>
        <v>1436474.5642391532</v>
      </c>
      <c r="H51" s="104">
        <f t="shared" si="33"/>
        <v>13340313.439326204</v>
      </c>
      <c r="I51" s="104">
        <f t="shared" si="34"/>
        <v>1148044.4100000001</v>
      </c>
      <c r="J51" s="104">
        <f t="shared" si="35"/>
        <v>748269</v>
      </c>
      <c r="K51" s="104">
        <f t="shared" si="36"/>
        <v>1037838.4344135411</v>
      </c>
      <c r="L51" s="104">
        <f t="shared" si="37"/>
        <v>1120301</v>
      </c>
      <c r="M51" s="104">
        <f t="shared" si="38"/>
        <v>982219.41999999993</v>
      </c>
      <c r="N51" s="104">
        <f t="shared" si="39"/>
        <v>1027959.8496999999</v>
      </c>
      <c r="O51" s="104">
        <f t="shared" si="40"/>
        <v>960945.33499999996</v>
      </c>
      <c r="P51" s="104">
        <f t="shared" si="41"/>
        <v>871694.94323556288</v>
      </c>
      <c r="Q51" s="104">
        <f t="shared" si="42"/>
        <v>800021.66599999974</v>
      </c>
      <c r="R51" s="104">
        <f t="shared" si="43"/>
        <v>736107.61199999996</v>
      </c>
      <c r="S51" s="104">
        <f t="shared" si="44"/>
        <v>805664.08010000002</v>
      </c>
      <c r="T51" s="104">
        <f t="shared" si="45"/>
        <v>719065.85693299992</v>
      </c>
      <c r="U51" s="104">
        <f t="shared" si="46"/>
        <v>702475.51069999987</v>
      </c>
      <c r="V51" s="104">
        <f t="shared" si="47"/>
        <v>6283104.6846594689</v>
      </c>
      <c r="W51" s="104">
        <f t="shared" si="48"/>
        <v>41892</v>
      </c>
      <c r="X51" s="104">
        <f t="shared" si="49"/>
        <v>210624.70506185314</v>
      </c>
      <c r="Y51" s="105">
        <f t="shared" si="23"/>
        <v>40869437.021228783</v>
      </c>
      <c r="Z51" s="106"/>
      <c r="AA51" s="103">
        <v>663343.54545454553</v>
      </c>
      <c r="AB51" s="107">
        <v>0</v>
      </c>
      <c r="AC51" s="104">
        <v>1867840.0909090908</v>
      </c>
      <c r="AD51" s="104">
        <v>1309597.69</v>
      </c>
      <c r="AE51" s="104">
        <v>1170828.7744648487</v>
      </c>
      <c r="AF51" s="104">
        <v>827061.11274375487</v>
      </c>
      <c r="AG51" s="104">
        <v>7680786.525672663</v>
      </c>
      <c r="AH51" s="104">
        <v>660995.26636363647</v>
      </c>
      <c r="AI51" s="104">
        <v>517834.09090909094</v>
      </c>
      <c r="AJ51" s="104">
        <v>679901.19766481617</v>
      </c>
      <c r="AK51" s="104">
        <v>706946</v>
      </c>
      <c r="AL51" s="104">
        <v>628381.79428113578</v>
      </c>
      <c r="AM51" s="104">
        <v>648531.83153865766</v>
      </c>
      <c r="AN51" s="104">
        <v>610675.45736367395</v>
      </c>
      <c r="AO51" s="104">
        <v>551977.70024389355</v>
      </c>
      <c r="AP51" s="104">
        <v>488870.94293837546</v>
      </c>
      <c r="AQ51" s="104">
        <v>424439.51486248442</v>
      </c>
      <c r="AR51" s="104">
        <v>494085.34211197559</v>
      </c>
      <c r="AS51" s="104">
        <v>430081.74147968629</v>
      </c>
      <c r="AT51" s="104">
        <v>426157.41386843426</v>
      </c>
      <c r="AU51" s="104">
        <v>3617884.4173472626</v>
      </c>
      <c r="AV51" s="104">
        <v>41892</v>
      </c>
      <c r="AW51" s="104">
        <v>210624.70506185314</v>
      </c>
      <c r="AX51" s="108">
        <f t="shared" si="24"/>
        <v>24658737.155279882</v>
      </c>
      <c r="AY51" s="106"/>
      <c r="AZ51" s="103">
        <v>488779.45454545459</v>
      </c>
      <c r="BA51" s="107">
        <v>0</v>
      </c>
      <c r="BB51" s="104">
        <v>1484981.9090909092</v>
      </c>
      <c r="BC51" s="104">
        <v>597380</v>
      </c>
      <c r="BD51" s="104">
        <v>313669.04539515154</v>
      </c>
      <c r="BE51" s="104">
        <v>609413.4514953983</v>
      </c>
      <c r="BF51" s="104">
        <v>5659526.9136535404</v>
      </c>
      <c r="BG51" s="104">
        <v>487049.14363636367</v>
      </c>
      <c r="BH51" s="104">
        <v>230434.90909090909</v>
      </c>
      <c r="BI51" s="104">
        <v>357937.23674872488</v>
      </c>
      <c r="BJ51" s="104">
        <v>413355</v>
      </c>
      <c r="BK51" s="104">
        <v>353837.62571886415</v>
      </c>
      <c r="BL51" s="104">
        <v>379428.01816134225</v>
      </c>
      <c r="BM51" s="104">
        <v>350269.87763632607</v>
      </c>
      <c r="BN51" s="104">
        <v>319717.24299166939</v>
      </c>
      <c r="BO51" s="107">
        <v>311150.72306162433</v>
      </c>
      <c r="BP51" s="107">
        <v>311668.09713751555</v>
      </c>
      <c r="BQ51" s="107">
        <v>311578.73798802443</v>
      </c>
      <c r="BR51" s="107">
        <v>288984.11545331363</v>
      </c>
      <c r="BS51" s="107">
        <v>276318.09683156561</v>
      </c>
      <c r="BT51" s="104">
        <v>2665220.2673122063</v>
      </c>
      <c r="BU51" s="104">
        <v>0</v>
      </c>
      <c r="BV51" s="107">
        <v>0</v>
      </c>
      <c r="BW51" s="108">
        <f t="shared" si="25"/>
        <v>16210699.865948904</v>
      </c>
      <c r="BX51" s="106"/>
      <c r="BY51" s="109">
        <v>0</v>
      </c>
      <c r="BZ51" s="104">
        <v>0</v>
      </c>
      <c r="CA51" s="104">
        <v>0</v>
      </c>
      <c r="CB51" s="104">
        <v>0</v>
      </c>
      <c r="CC51" s="104">
        <v>0</v>
      </c>
      <c r="CD51" s="104">
        <v>0</v>
      </c>
      <c r="CE51" s="104">
        <v>0</v>
      </c>
      <c r="CF51" s="104">
        <v>0</v>
      </c>
      <c r="CG51" s="104">
        <v>0</v>
      </c>
      <c r="CH51" s="104">
        <v>0</v>
      </c>
      <c r="CI51" s="110">
        <v>0</v>
      </c>
      <c r="CJ51" s="110">
        <v>0</v>
      </c>
      <c r="CK51" s="110">
        <v>0</v>
      </c>
      <c r="CL51" s="110">
        <v>0</v>
      </c>
      <c r="CM51" s="110">
        <v>0</v>
      </c>
      <c r="CN51" s="107">
        <v>0</v>
      </c>
      <c r="CO51" s="107">
        <v>0</v>
      </c>
      <c r="CP51" s="107">
        <v>0</v>
      </c>
      <c r="CQ51" s="107">
        <v>0</v>
      </c>
      <c r="CR51" s="107">
        <v>0</v>
      </c>
      <c r="CS51" s="107">
        <v>0</v>
      </c>
      <c r="CT51" s="107">
        <v>0</v>
      </c>
      <c r="CU51" s="107">
        <v>0</v>
      </c>
      <c r="CV51" s="108">
        <f t="shared" si="26"/>
        <v>0</v>
      </c>
    </row>
    <row r="52" spans="1:100" s="3" customFormat="1">
      <c r="A52" s="3" t="s">
        <v>44</v>
      </c>
      <c r="B52" s="103">
        <f t="shared" si="27"/>
        <v>7290729.0000000009</v>
      </c>
      <c r="C52" s="104">
        <f t="shared" si="28"/>
        <v>0</v>
      </c>
      <c r="D52" s="104">
        <f t="shared" si="29"/>
        <v>9453886</v>
      </c>
      <c r="E52" s="104">
        <f t="shared" si="30"/>
        <v>14397094.000000004</v>
      </c>
      <c r="F52" s="104">
        <f t="shared" si="31"/>
        <v>12105176</v>
      </c>
      <c r="G52" s="104">
        <f t="shared" si="32"/>
        <v>13094788.167935502</v>
      </c>
      <c r="H52" s="104">
        <f t="shared" si="33"/>
        <v>93752147.758420199</v>
      </c>
      <c r="I52" s="104">
        <f t="shared" si="34"/>
        <v>6525316.7300000023</v>
      </c>
      <c r="J52" s="104">
        <f t="shared" si="35"/>
        <v>4701999</v>
      </c>
      <c r="K52" s="104">
        <f t="shared" si="36"/>
        <v>5864257.3123646816</v>
      </c>
      <c r="L52" s="104">
        <f t="shared" si="37"/>
        <v>6320984</v>
      </c>
      <c r="M52" s="104">
        <f t="shared" si="38"/>
        <v>5680204.5449999999</v>
      </c>
      <c r="N52" s="104">
        <f t="shared" si="39"/>
        <v>5968608.1206</v>
      </c>
      <c r="O52" s="104">
        <f t="shared" si="40"/>
        <v>5518231.7450000001</v>
      </c>
      <c r="P52" s="104">
        <f t="shared" si="41"/>
        <v>5064426.3692925386</v>
      </c>
      <c r="Q52" s="104">
        <f t="shared" si="42"/>
        <v>4903261.5313887894</v>
      </c>
      <c r="R52" s="104">
        <f t="shared" si="43"/>
        <v>4628291.8059999999</v>
      </c>
      <c r="S52" s="104">
        <f t="shared" si="44"/>
        <v>4838600.4998000003</v>
      </c>
      <c r="T52" s="104">
        <f t="shared" si="45"/>
        <v>4449860.9772340003</v>
      </c>
      <c r="U52" s="104">
        <f t="shared" si="46"/>
        <v>4237446.4485999998</v>
      </c>
      <c r="V52" s="104">
        <f t="shared" si="47"/>
        <v>39241767.970484734</v>
      </c>
      <c r="W52" s="104">
        <f t="shared" si="48"/>
        <v>195156</v>
      </c>
      <c r="X52" s="104">
        <f t="shared" si="49"/>
        <v>981205.83741647587</v>
      </c>
      <c r="Y52" s="105">
        <f t="shared" si="23"/>
        <v>259213439.81953689</v>
      </c>
      <c r="Z52" s="106"/>
      <c r="AA52" s="103">
        <v>3188595.9361445787</v>
      </c>
      <c r="AB52" s="107">
        <v>0</v>
      </c>
      <c r="AC52" s="104">
        <v>3954098.0481927712</v>
      </c>
      <c r="AD52" s="104">
        <v>5979725.2409638567</v>
      </c>
      <c r="AE52" s="104">
        <v>5069045.710843374</v>
      </c>
      <c r="AF52" s="104">
        <v>4634557.0891091414</v>
      </c>
      <c r="AG52" s="104">
        <v>37142881.520851247</v>
      </c>
      <c r="AH52" s="104">
        <v>2853843.3409518083</v>
      </c>
      <c r="AI52" s="104">
        <v>2383256.8397590364</v>
      </c>
      <c r="AJ52" s="104">
        <v>2880569.636705054</v>
      </c>
      <c r="AK52" s="104">
        <v>2991118</v>
      </c>
      <c r="AL52" s="104">
        <v>2708947.4007479199</v>
      </c>
      <c r="AM52" s="104">
        <v>2782887.6974775991</v>
      </c>
      <c r="AN52" s="104">
        <v>2573327.3854362527</v>
      </c>
      <c r="AO52" s="104">
        <v>2379307.8021596009</v>
      </c>
      <c r="AP52" s="104">
        <v>2288802.7321368614</v>
      </c>
      <c r="AQ52" s="104">
        <v>2010324.3493501223</v>
      </c>
      <c r="AR52" s="104">
        <v>2220261.5276640761</v>
      </c>
      <c r="AS52" s="104">
        <v>2023566.2044860143</v>
      </c>
      <c r="AT52" s="104">
        <v>1917535.7417869621</v>
      </c>
      <c r="AU52" s="104">
        <v>16865474.780384235</v>
      </c>
      <c r="AV52" s="104">
        <v>195156</v>
      </c>
      <c r="AW52" s="104">
        <v>981205.83741647587</v>
      </c>
      <c r="AX52" s="108">
        <f t="shared" si="24"/>
        <v>110024488.82256699</v>
      </c>
      <c r="AY52" s="106"/>
      <c r="AZ52" s="103">
        <v>4102133.0638554222</v>
      </c>
      <c r="BA52" s="107">
        <v>0</v>
      </c>
      <c r="BB52" s="104">
        <v>5499787.9518072288</v>
      </c>
      <c r="BC52" s="104">
        <v>8398660.7590361461</v>
      </c>
      <c r="BD52" s="104">
        <v>6521334.2891566269</v>
      </c>
      <c r="BE52" s="104">
        <v>5962364.0788263604</v>
      </c>
      <c r="BF52" s="104">
        <v>47784368.237568952</v>
      </c>
      <c r="BG52" s="104">
        <v>3671473.3890481936</v>
      </c>
      <c r="BH52" s="104">
        <v>2318742.160240964</v>
      </c>
      <c r="BI52" s="104">
        <v>2983687.6756596277</v>
      </c>
      <c r="BJ52" s="104">
        <v>3329866</v>
      </c>
      <c r="BK52" s="104">
        <v>2971257.14425208</v>
      </c>
      <c r="BL52" s="104">
        <v>3185720.4231224009</v>
      </c>
      <c r="BM52" s="104">
        <v>2944904.3595637474</v>
      </c>
      <c r="BN52" s="104">
        <v>2685118.5671329373</v>
      </c>
      <c r="BO52" s="107">
        <v>2614458.799251928</v>
      </c>
      <c r="BP52" s="107">
        <v>2617967.4566498776</v>
      </c>
      <c r="BQ52" s="107">
        <v>2618338.9721359243</v>
      </c>
      <c r="BR52" s="107">
        <v>2426294.772747986</v>
      </c>
      <c r="BS52" s="107">
        <v>2319910.7068130379</v>
      </c>
      <c r="BT52" s="104">
        <v>22376293.190100495</v>
      </c>
      <c r="BU52" s="104">
        <v>0</v>
      </c>
      <c r="BV52" s="107">
        <v>0</v>
      </c>
      <c r="BW52" s="108">
        <f t="shared" si="25"/>
        <v>137332681.99696994</v>
      </c>
      <c r="BX52" s="106"/>
      <c r="BY52" s="109">
        <v>0</v>
      </c>
      <c r="BZ52" s="104">
        <v>0</v>
      </c>
      <c r="CA52" s="104">
        <v>0</v>
      </c>
      <c r="CB52" s="104">
        <v>18708</v>
      </c>
      <c r="CC52" s="104">
        <v>514796</v>
      </c>
      <c r="CD52" s="104">
        <v>2497867</v>
      </c>
      <c r="CE52" s="104">
        <v>8824898</v>
      </c>
      <c r="CF52" s="104">
        <v>0</v>
      </c>
      <c r="CG52" s="104">
        <v>0</v>
      </c>
      <c r="CH52" s="104">
        <v>0</v>
      </c>
      <c r="CI52" s="110">
        <v>0</v>
      </c>
      <c r="CJ52" s="110">
        <v>0</v>
      </c>
      <c r="CK52" s="110">
        <v>0</v>
      </c>
      <c r="CL52" s="110">
        <v>0</v>
      </c>
      <c r="CM52" s="110">
        <v>0</v>
      </c>
      <c r="CN52" s="107">
        <v>0</v>
      </c>
      <c r="CO52" s="107">
        <v>0</v>
      </c>
      <c r="CP52" s="107">
        <v>0</v>
      </c>
      <c r="CQ52" s="107">
        <v>0</v>
      </c>
      <c r="CR52" s="107">
        <v>0</v>
      </c>
      <c r="CS52" s="107">
        <v>0</v>
      </c>
      <c r="CT52" s="107">
        <v>0</v>
      </c>
      <c r="CU52" s="107">
        <v>0</v>
      </c>
      <c r="CV52" s="108">
        <f t="shared" si="26"/>
        <v>11856269</v>
      </c>
    </row>
    <row r="53" spans="1:100" s="3" customFormat="1">
      <c r="A53" s="3" t="s">
        <v>45</v>
      </c>
      <c r="B53" s="103">
        <f t="shared" si="27"/>
        <v>477040</v>
      </c>
      <c r="C53" s="104">
        <f t="shared" si="28"/>
        <v>0</v>
      </c>
      <c r="D53" s="104">
        <f t="shared" si="29"/>
        <v>656938</v>
      </c>
      <c r="E53" s="104">
        <f t="shared" si="30"/>
        <v>1223865.4099999999</v>
      </c>
      <c r="F53" s="104">
        <f t="shared" si="31"/>
        <v>492078.4214600001</v>
      </c>
      <c r="G53" s="104">
        <f t="shared" si="32"/>
        <v>512457.89695815102</v>
      </c>
      <c r="H53" s="104">
        <f t="shared" si="33"/>
        <v>5466453.368580509</v>
      </c>
      <c r="I53" s="104">
        <f t="shared" si="34"/>
        <v>371805.88999999996</v>
      </c>
      <c r="J53" s="104">
        <f t="shared" si="35"/>
        <v>326184</v>
      </c>
      <c r="K53" s="104">
        <f t="shared" si="36"/>
        <v>363363.29965488741</v>
      </c>
      <c r="L53" s="104">
        <f t="shared" si="37"/>
        <v>496894</v>
      </c>
      <c r="M53" s="104">
        <f t="shared" si="38"/>
        <v>357794.86</v>
      </c>
      <c r="N53" s="104">
        <f t="shared" si="39"/>
        <v>371032.09770000004</v>
      </c>
      <c r="O53" s="104">
        <f t="shared" si="40"/>
        <v>353280.06</v>
      </c>
      <c r="P53" s="104">
        <f t="shared" si="41"/>
        <v>322140.58991442411</v>
      </c>
      <c r="Q53" s="104">
        <f t="shared" si="42"/>
        <v>301153.72600000002</v>
      </c>
      <c r="R53" s="104">
        <f t="shared" si="43"/>
        <v>509804.01200000005</v>
      </c>
      <c r="S53" s="104">
        <f t="shared" si="44"/>
        <v>309554.90410000004</v>
      </c>
      <c r="T53" s="104">
        <f t="shared" si="45"/>
        <v>289276.49885300006</v>
      </c>
      <c r="U53" s="104">
        <f t="shared" si="46"/>
        <v>278658.10870000004</v>
      </c>
      <c r="V53" s="104">
        <f t="shared" si="47"/>
        <v>265333.36680000002</v>
      </c>
      <c r="W53" s="104">
        <f t="shared" si="48"/>
        <v>2353146.8647616813</v>
      </c>
      <c r="X53" s="104">
        <f t="shared" si="49"/>
        <v>-65497.184017014246</v>
      </c>
      <c r="Y53" s="105">
        <f t="shared" si="23"/>
        <v>16032758.191465642</v>
      </c>
      <c r="Z53" s="106"/>
      <c r="AA53" s="103">
        <v>256867.69230769228</v>
      </c>
      <c r="AB53" s="107">
        <v>0</v>
      </c>
      <c r="AC53" s="104">
        <v>323049.38461538462</v>
      </c>
      <c r="AD53" s="104">
        <v>679375.64076923078</v>
      </c>
      <c r="AE53" s="104">
        <v>314087.97924769233</v>
      </c>
      <c r="AF53" s="104">
        <v>263196.71374669671</v>
      </c>
      <c r="AG53" s="104">
        <v>2845320.3523125816</v>
      </c>
      <c r="AH53" s="104">
        <v>200203.17153846152</v>
      </c>
      <c r="AI53" s="104">
        <v>187983.69230769231</v>
      </c>
      <c r="AJ53" s="104">
        <v>209772.52544956096</v>
      </c>
      <c r="AK53" s="104">
        <v>278363</v>
      </c>
      <c r="AL53" s="104">
        <v>202920.11176038801</v>
      </c>
      <c r="AM53" s="104">
        <v>204978.2362700722</v>
      </c>
      <c r="AN53" s="104">
        <v>199858.31693201765</v>
      </c>
      <c r="AO53" s="104">
        <v>182963.25101421369</v>
      </c>
      <c r="AP53" s="104">
        <v>164839.62106743606</v>
      </c>
      <c r="AQ53" s="104">
        <v>373344.57294491457</v>
      </c>
      <c r="AR53" s="104">
        <v>173076.08686440327</v>
      </c>
      <c r="AS53" s="104">
        <v>162804.02010734272</v>
      </c>
      <c r="AT53" s="104">
        <v>157734.97185052035</v>
      </c>
      <c r="AU53" s="104">
        <v>151138.34022745254</v>
      </c>
      <c r="AV53" s="104">
        <v>1241636.3168747942</v>
      </c>
      <c r="AW53" s="104">
        <v>-65497.184017014246</v>
      </c>
      <c r="AX53" s="108">
        <f t="shared" si="24"/>
        <v>8708016.8141915351</v>
      </c>
      <c r="AY53" s="106"/>
      <c r="AZ53" s="103">
        <v>220172.30769230769</v>
      </c>
      <c r="BA53" s="107">
        <v>0</v>
      </c>
      <c r="BB53" s="104">
        <v>333888.61538461538</v>
      </c>
      <c r="BC53" s="104">
        <v>517468.76923076919</v>
      </c>
      <c r="BD53" s="104">
        <v>164177.44221230774</v>
      </c>
      <c r="BE53" s="104">
        <v>225597.18321145434</v>
      </c>
      <c r="BF53" s="104">
        <v>2438846.0162679269</v>
      </c>
      <c r="BG53" s="104">
        <v>171602.71846153843</v>
      </c>
      <c r="BH53" s="104">
        <v>138200.30769230769</v>
      </c>
      <c r="BI53" s="104">
        <v>153590.77420532645</v>
      </c>
      <c r="BJ53" s="104">
        <v>218531</v>
      </c>
      <c r="BK53" s="104">
        <v>154874.748239612</v>
      </c>
      <c r="BL53" s="104">
        <v>166053.86142992781</v>
      </c>
      <c r="BM53" s="104">
        <v>153421.74306798234</v>
      </c>
      <c r="BN53" s="104">
        <v>139177.33890021045</v>
      </c>
      <c r="BO53" s="107">
        <v>136314.10493256393</v>
      </c>
      <c r="BP53" s="107">
        <v>136459.43905508547</v>
      </c>
      <c r="BQ53" s="107">
        <v>136478.8172355968</v>
      </c>
      <c r="BR53" s="107">
        <v>126472.47874565735</v>
      </c>
      <c r="BS53" s="107">
        <v>120923.13684947969</v>
      </c>
      <c r="BT53" s="104">
        <v>114195.02657254749</v>
      </c>
      <c r="BU53" s="104">
        <v>1111510.5478868869</v>
      </c>
      <c r="BV53" s="107">
        <v>0</v>
      </c>
      <c r="BW53" s="108">
        <f t="shared" si="25"/>
        <v>7077956.3772741044</v>
      </c>
      <c r="BX53" s="106"/>
      <c r="BY53" s="109">
        <v>0</v>
      </c>
      <c r="BZ53" s="104">
        <v>0</v>
      </c>
      <c r="CA53" s="104">
        <v>0</v>
      </c>
      <c r="CB53" s="104">
        <v>27021</v>
      </c>
      <c r="CC53" s="104">
        <v>13813</v>
      </c>
      <c r="CD53" s="104">
        <v>23664</v>
      </c>
      <c r="CE53" s="104">
        <v>182287</v>
      </c>
      <c r="CF53" s="104">
        <v>0</v>
      </c>
      <c r="CG53" s="104">
        <v>0</v>
      </c>
      <c r="CH53" s="104">
        <v>0</v>
      </c>
      <c r="CI53" s="110">
        <v>0</v>
      </c>
      <c r="CJ53" s="110">
        <v>0</v>
      </c>
      <c r="CK53" s="110">
        <v>0</v>
      </c>
      <c r="CL53" s="110">
        <v>0</v>
      </c>
      <c r="CM53" s="110">
        <v>0</v>
      </c>
      <c r="CN53" s="107">
        <v>0</v>
      </c>
      <c r="CO53" s="107">
        <v>0</v>
      </c>
      <c r="CP53" s="107">
        <v>0</v>
      </c>
      <c r="CQ53" s="107">
        <v>0</v>
      </c>
      <c r="CR53" s="107">
        <v>0</v>
      </c>
      <c r="CS53" s="107">
        <v>0</v>
      </c>
      <c r="CT53" s="107">
        <v>0</v>
      </c>
      <c r="CU53" s="107">
        <v>0</v>
      </c>
      <c r="CV53" s="108">
        <f t="shared" si="26"/>
        <v>246785</v>
      </c>
    </row>
    <row r="54" spans="1:100" s="3" customFormat="1">
      <c r="A54" s="3" t="s">
        <v>46</v>
      </c>
      <c r="B54" s="103">
        <f t="shared" si="27"/>
        <v>0</v>
      </c>
      <c r="C54" s="104">
        <f t="shared" si="28"/>
        <v>0</v>
      </c>
      <c r="D54" s="104">
        <f t="shared" si="29"/>
        <v>0</v>
      </c>
      <c r="E54" s="104">
        <f t="shared" si="30"/>
        <v>0</v>
      </c>
      <c r="F54" s="104">
        <f t="shared" si="31"/>
        <v>0</v>
      </c>
      <c r="G54" s="104">
        <f t="shared" si="32"/>
        <v>0</v>
      </c>
      <c r="H54" s="104">
        <f t="shared" si="33"/>
        <v>0</v>
      </c>
      <c r="I54" s="104">
        <f t="shared" si="34"/>
        <v>0</v>
      </c>
      <c r="J54" s="104">
        <f t="shared" si="35"/>
        <v>0</v>
      </c>
      <c r="K54" s="104">
        <f t="shared" si="36"/>
        <v>0</v>
      </c>
      <c r="L54" s="104">
        <f t="shared" si="37"/>
        <v>0</v>
      </c>
      <c r="M54" s="104">
        <f t="shared" si="38"/>
        <v>0</v>
      </c>
      <c r="N54" s="104">
        <f t="shared" si="39"/>
        <v>0</v>
      </c>
      <c r="O54" s="104">
        <f t="shared" si="40"/>
        <v>0</v>
      </c>
      <c r="P54" s="104">
        <f t="shared" si="41"/>
        <v>0</v>
      </c>
      <c r="Q54" s="104">
        <f t="shared" si="42"/>
        <v>0</v>
      </c>
      <c r="R54" s="104">
        <f t="shared" si="43"/>
        <v>0</v>
      </c>
      <c r="S54" s="104">
        <f t="shared" si="44"/>
        <v>0</v>
      </c>
      <c r="T54" s="104">
        <f t="shared" si="45"/>
        <v>0</v>
      </c>
      <c r="U54" s="104">
        <f t="shared" si="46"/>
        <v>0</v>
      </c>
      <c r="V54" s="104">
        <f t="shared" si="47"/>
        <v>0</v>
      </c>
      <c r="W54" s="104">
        <f t="shared" si="48"/>
        <v>0</v>
      </c>
      <c r="X54" s="104">
        <f t="shared" si="49"/>
        <v>0</v>
      </c>
      <c r="Y54" s="105">
        <f t="shared" si="23"/>
        <v>0</v>
      </c>
      <c r="Z54" s="106"/>
      <c r="AA54" s="103">
        <v>0</v>
      </c>
      <c r="AB54" s="107">
        <v>0</v>
      </c>
      <c r="AC54" s="104">
        <v>0</v>
      </c>
      <c r="AD54" s="104">
        <v>0</v>
      </c>
      <c r="AE54" s="104">
        <v>0</v>
      </c>
      <c r="AF54" s="104">
        <v>0</v>
      </c>
      <c r="AG54" s="104">
        <v>0</v>
      </c>
      <c r="AH54" s="104">
        <v>0</v>
      </c>
      <c r="AI54" s="104">
        <v>0</v>
      </c>
      <c r="AJ54" s="104">
        <v>0</v>
      </c>
      <c r="AK54" s="104">
        <v>0</v>
      </c>
      <c r="AL54" s="104">
        <v>0</v>
      </c>
      <c r="AM54" s="104">
        <v>0</v>
      </c>
      <c r="AN54" s="104">
        <v>0</v>
      </c>
      <c r="AO54" s="104">
        <v>0</v>
      </c>
      <c r="AP54" s="104">
        <v>0</v>
      </c>
      <c r="AQ54" s="104">
        <v>0</v>
      </c>
      <c r="AR54" s="104">
        <v>0</v>
      </c>
      <c r="AS54" s="104">
        <v>0</v>
      </c>
      <c r="AT54" s="104">
        <v>0</v>
      </c>
      <c r="AU54" s="104">
        <v>0</v>
      </c>
      <c r="AV54" s="104">
        <v>0</v>
      </c>
      <c r="AW54" s="104">
        <v>0</v>
      </c>
      <c r="AX54" s="108">
        <f t="shared" si="24"/>
        <v>0</v>
      </c>
      <c r="AY54" s="106"/>
      <c r="AZ54" s="103">
        <v>0</v>
      </c>
      <c r="BA54" s="107">
        <v>0</v>
      </c>
      <c r="BB54" s="104">
        <v>0</v>
      </c>
      <c r="BC54" s="104">
        <v>0</v>
      </c>
      <c r="BD54" s="104">
        <v>0</v>
      </c>
      <c r="BE54" s="104">
        <v>0</v>
      </c>
      <c r="BF54" s="104">
        <v>0</v>
      </c>
      <c r="BG54" s="104">
        <v>0</v>
      </c>
      <c r="BH54" s="104">
        <v>0</v>
      </c>
      <c r="BI54" s="104">
        <v>0</v>
      </c>
      <c r="BJ54" s="104">
        <v>0</v>
      </c>
      <c r="BK54" s="104">
        <v>0</v>
      </c>
      <c r="BL54" s="104">
        <v>0</v>
      </c>
      <c r="BM54" s="104">
        <v>0</v>
      </c>
      <c r="BN54" s="104">
        <v>0</v>
      </c>
      <c r="BO54" s="107">
        <v>0</v>
      </c>
      <c r="BP54" s="107">
        <v>0</v>
      </c>
      <c r="BQ54" s="107">
        <v>0</v>
      </c>
      <c r="BR54" s="107">
        <v>0</v>
      </c>
      <c r="BS54" s="107">
        <v>0</v>
      </c>
      <c r="BT54" s="104">
        <v>0</v>
      </c>
      <c r="BU54" s="104">
        <v>0</v>
      </c>
      <c r="BV54" s="107">
        <v>0</v>
      </c>
      <c r="BW54" s="108">
        <f t="shared" si="25"/>
        <v>0</v>
      </c>
      <c r="BX54" s="106"/>
      <c r="BY54" s="103">
        <v>0</v>
      </c>
      <c r="BZ54" s="104">
        <v>0</v>
      </c>
      <c r="CA54" s="104">
        <v>0</v>
      </c>
      <c r="CB54" s="104">
        <v>0</v>
      </c>
      <c r="CC54" s="104">
        <v>0</v>
      </c>
      <c r="CD54" s="104">
        <v>0</v>
      </c>
      <c r="CE54" s="104">
        <v>0</v>
      </c>
      <c r="CF54" s="104">
        <v>0</v>
      </c>
      <c r="CG54" s="104">
        <v>0</v>
      </c>
      <c r="CH54" s="104">
        <v>0</v>
      </c>
      <c r="CI54" s="104">
        <v>0</v>
      </c>
      <c r="CJ54" s="104">
        <v>0</v>
      </c>
      <c r="CK54" s="104">
        <v>0</v>
      </c>
      <c r="CL54" s="104">
        <v>0</v>
      </c>
      <c r="CM54" s="104">
        <v>0</v>
      </c>
      <c r="CN54" s="107">
        <v>0</v>
      </c>
      <c r="CO54" s="107">
        <v>0</v>
      </c>
      <c r="CP54" s="107">
        <v>0</v>
      </c>
      <c r="CQ54" s="107">
        <v>0</v>
      </c>
      <c r="CR54" s="107">
        <v>0</v>
      </c>
      <c r="CS54" s="107">
        <v>0</v>
      </c>
      <c r="CT54" s="107">
        <v>0</v>
      </c>
      <c r="CU54" s="107">
        <v>0</v>
      </c>
      <c r="CV54" s="108">
        <f t="shared" si="26"/>
        <v>0</v>
      </c>
    </row>
    <row r="55" spans="1:100" s="3" customFormat="1">
      <c r="A55" s="3" t="s">
        <v>47</v>
      </c>
      <c r="B55" s="103">
        <f t="shared" si="27"/>
        <v>1094947</v>
      </c>
      <c r="C55" s="104">
        <f t="shared" si="28"/>
        <v>0</v>
      </c>
      <c r="D55" s="104">
        <f t="shared" si="29"/>
        <v>2858479</v>
      </c>
      <c r="E55" s="104">
        <f t="shared" si="30"/>
        <v>-22946</v>
      </c>
      <c r="F55" s="104">
        <f t="shared" si="31"/>
        <v>1255470</v>
      </c>
      <c r="G55" s="104">
        <f t="shared" si="32"/>
        <v>1170072.94141761</v>
      </c>
      <c r="H55" s="104">
        <f t="shared" si="33"/>
        <v>10749219.241044451</v>
      </c>
      <c r="I55" s="104">
        <f t="shared" si="34"/>
        <v>735414.19</v>
      </c>
      <c r="J55" s="104">
        <f t="shared" si="35"/>
        <v>649010</v>
      </c>
      <c r="K55" s="104">
        <f t="shared" si="36"/>
        <v>718499.54316807829</v>
      </c>
      <c r="L55" s="104">
        <f t="shared" si="37"/>
        <v>653720</v>
      </c>
      <c r="M55" s="104">
        <f t="shared" si="38"/>
        <v>702794.91999999993</v>
      </c>
      <c r="N55" s="104">
        <f t="shared" si="39"/>
        <v>756957.13540000003</v>
      </c>
      <c r="O55" s="104">
        <f t="shared" si="40"/>
        <v>695493.01</v>
      </c>
      <c r="P55" s="104">
        <f t="shared" si="41"/>
        <v>641473.11532652332</v>
      </c>
      <c r="Q55" s="104">
        <f t="shared" si="42"/>
        <v>620699.87199999997</v>
      </c>
      <c r="R55" s="104">
        <f t="shared" si="43"/>
        <v>594810.31400000001</v>
      </c>
      <c r="S55" s="104">
        <f t="shared" si="44"/>
        <v>611837.80820000009</v>
      </c>
      <c r="T55" s="104">
        <f t="shared" si="45"/>
        <v>562992.99770599999</v>
      </c>
      <c r="U55" s="104">
        <f t="shared" si="46"/>
        <v>541043.22739999997</v>
      </c>
      <c r="V55" s="104">
        <f t="shared" si="47"/>
        <v>506835.73360000004</v>
      </c>
      <c r="W55" s="104">
        <f t="shared" si="48"/>
        <v>4810096</v>
      </c>
      <c r="X55" s="104">
        <f t="shared" si="49"/>
        <v>50182.497403379071</v>
      </c>
      <c r="Y55" s="105">
        <f t="shared" si="23"/>
        <v>30957102.546666052</v>
      </c>
      <c r="Z55" s="106"/>
      <c r="AA55" s="103">
        <v>361539.10377358488</v>
      </c>
      <c r="AB55" s="107">
        <v>0</v>
      </c>
      <c r="AC55" s="104">
        <v>929239.9339622641</v>
      </c>
      <c r="AD55" s="104">
        <v>-73359.009433962259</v>
      </c>
      <c r="AE55" s="104">
        <v>414541.98113207542</v>
      </c>
      <c r="AF55" s="104">
        <v>386344.83914732403</v>
      </c>
      <c r="AG55" s="104">
        <v>3549270.50411845</v>
      </c>
      <c r="AH55" s="104">
        <v>242825.4400943396</v>
      </c>
      <c r="AI55" s="104">
        <v>244179.08490566036</v>
      </c>
      <c r="AJ55" s="104">
        <v>265370.56169933634</v>
      </c>
      <c r="AK55" s="104">
        <v>243508</v>
      </c>
      <c r="AL55" s="104">
        <v>264218.45867089368</v>
      </c>
      <c r="AM55" s="104">
        <v>286724.78843847569</v>
      </c>
      <c r="AN55" s="104">
        <v>260862.67090752139</v>
      </c>
      <c r="AO55" s="104">
        <v>244544.02607237216</v>
      </c>
      <c r="AP55" s="104">
        <v>234789.53231153666</v>
      </c>
      <c r="AQ55" s="104">
        <v>208381.98808832947</v>
      </c>
      <c r="AR55" s="104">
        <v>225354.613455852</v>
      </c>
      <c r="AS55" s="104">
        <v>204856.57610936888</v>
      </c>
      <c r="AT55" s="104">
        <v>198609.55415319037</v>
      </c>
      <c r="AU55" s="104">
        <v>183457.51244409572</v>
      </c>
      <c r="AV55" s="104">
        <v>1617426.6267862874</v>
      </c>
      <c r="AW55" s="104">
        <v>50182.497403379071</v>
      </c>
      <c r="AX55" s="108">
        <f t="shared" si="24"/>
        <v>10542869.284240376</v>
      </c>
      <c r="AY55" s="106"/>
      <c r="AZ55" s="103">
        <v>733407.89622641518</v>
      </c>
      <c r="BA55" s="107">
        <v>0</v>
      </c>
      <c r="BB55" s="104">
        <v>1929239.0660377359</v>
      </c>
      <c r="BC55" s="104">
        <v>50413.009433962259</v>
      </c>
      <c r="BD55" s="104">
        <v>840928.01886792458</v>
      </c>
      <c r="BE55" s="104">
        <v>783728.10227028606</v>
      </c>
      <c r="BF55" s="104">
        <v>7199948.7369260006</v>
      </c>
      <c r="BG55" s="104">
        <v>492588.7499056604</v>
      </c>
      <c r="BH55" s="104">
        <v>404830.91509433964</v>
      </c>
      <c r="BI55" s="104">
        <v>453128.98146874196</v>
      </c>
      <c r="BJ55" s="104">
        <v>410212</v>
      </c>
      <c r="BK55" s="104">
        <v>438576.46132910624</v>
      </c>
      <c r="BL55" s="104">
        <v>470232.34696152434</v>
      </c>
      <c r="BM55" s="104">
        <v>434630.33909247856</v>
      </c>
      <c r="BN55" s="104">
        <v>396929.08925415116</v>
      </c>
      <c r="BO55" s="107">
        <v>385910.33968846331</v>
      </c>
      <c r="BP55" s="107">
        <v>386428.32591167052</v>
      </c>
      <c r="BQ55" s="107">
        <v>386483.19474414806</v>
      </c>
      <c r="BR55" s="107">
        <v>358136.42159663117</v>
      </c>
      <c r="BS55" s="107">
        <v>342433.67324680963</v>
      </c>
      <c r="BT55" s="104">
        <v>323378.22115590429</v>
      </c>
      <c r="BU55" s="104">
        <v>3192669.3732137121</v>
      </c>
      <c r="BV55" s="107">
        <v>0</v>
      </c>
      <c r="BW55" s="108">
        <f t="shared" si="25"/>
        <v>20414233.262425669</v>
      </c>
      <c r="BX55" s="106"/>
      <c r="BY55" s="109">
        <v>0</v>
      </c>
      <c r="BZ55" s="104">
        <v>0</v>
      </c>
      <c r="CA55" s="104">
        <v>0</v>
      </c>
      <c r="CB55" s="104">
        <v>0</v>
      </c>
      <c r="CC55" s="104">
        <v>0</v>
      </c>
      <c r="CD55" s="104">
        <v>0</v>
      </c>
      <c r="CE55" s="104">
        <v>0</v>
      </c>
      <c r="CF55" s="104">
        <v>0</v>
      </c>
      <c r="CG55" s="104">
        <v>0</v>
      </c>
      <c r="CH55" s="104">
        <v>0</v>
      </c>
      <c r="CI55" s="110">
        <v>0</v>
      </c>
      <c r="CJ55" s="110">
        <v>0</v>
      </c>
      <c r="CK55" s="110">
        <v>0</v>
      </c>
      <c r="CL55" s="110">
        <v>0</v>
      </c>
      <c r="CM55" s="110">
        <v>0</v>
      </c>
      <c r="CN55" s="107">
        <v>0</v>
      </c>
      <c r="CO55" s="107">
        <v>0</v>
      </c>
      <c r="CP55" s="107">
        <v>0</v>
      </c>
      <c r="CQ55" s="107">
        <v>0</v>
      </c>
      <c r="CR55" s="107">
        <v>0</v>
      </c>
      <c r="CS55" s="107">
        <v>0</v>
      </c>
      <c r="CT55" s="107">
        <v>0</v>
      </c>
      <c r="CU55" s="107">
        <v>0</v>
      </c>
      <c r="CV55" s="108">
        <f t="shared" si="26"/>
        <v>0</v>
      </c>
    </row>
    <row r="56" spans="1:100" s="3" customFormat="1">
      <c r="A56" s="3" t="s">
        <v>48</v>
      </c>
      <c r="B56" s="103">
        <f t="shared" si="27"/>
        <v>3283149</v>
      </c>
      <c r="C56" s="104">
        <f t="shared" si="28"/>
        <v>0</v>
      </c>
      <c r="D56" s="104">
        <f t="shared" si="29"/>
        <v>7349467</v>
      </c>
      <c r="E56" s="104">
        <f t="shared" si="30"/>
        <v>3208078.9</v>
      </c>
      <c r="F56" s="104">
        <f t="shared" si="31"/>
        <v>2562377</v>
      </c>
      <c r="G56" s="104">
        <f t="shared" si="32"/>
        <v>3521609.53149636</v>
      </c>
      <c r="H56" s="104">
        <f t="shared" si="33"/>
        <v>34652038.210019097</v>
      </c>
      <c r="I56" s="104">
        <f t="shared" si="34"/>
        <v>2346773.283963582</v>
      </c>
      <c r="J56" s="104">
        <f t="shared" si="35"/>
        <v>1922895</v>
      </c>
      <c r="K56" s="104">
        <f t="shared" si="36"/>
        <v>2210219.3961797706</v>
      </c>
      <c r="L56" s="104">
        <f t="shared" si="37"/>
        <v>2215197</v>
      </c>
      <c r="M56" s="104">
        <f t="shared" si="38"/>
        <v>2158791.66</v>
      </c>
      <c r="N56" s="104">
        <f t="shared" si="39"/>
        <v>2287322.9506999999</v>
      </c>
      <c r="O56" s="104">
        <f t="shared" si="40"/>
        <v>2109859.7250000001</v>
      </c>
      <c r="P56" s="104">
        <f t="shared" si="41"/>
        <v>1918370.3820956289</v>
      </c>
      <c r="Q56" s="104">
        <f t="shared" si="42"/>
        <v>1852643.0860000001</v>
      </c>
      <c r="R56" s="104">
        <f t="shared" si="43"/>
        <v>1807608.6620000002</v>
      </c>
      <c r="S56" s="104">
        <f t="shared" si="44"/>
        <v>1861514.6231</v>
      </c>
      <c r="T56" s="104">
        <f t="shared" si="45"/>
        <v>1699403.0911229998</v>
      </c>
      <c r="U56" s="104">
        <f t="shared" si="46"/>
        <v>1645262.9617000003</v>
      </c>
      <c r="V56" s="104">
        <f t="shared" si="47"/>
        <v>1561325.6588000003</v>
      </c>
      <c r="W56" s="104">
        <f t="shared" si="48"/>
        <v>1535083.9726999998</v>
      </c>
      <c r="X56" s="104">
        <f t="shared" si="49"/>
        <v>13443683.334954217</v>
      </c>
      <c r="Y56" s="105">
        <f t="shared" si="23"/>
        <v>97152674.429831669</v>
      </c>
      <c r="Z56" s="106"/>
      <c r="AA56" s="103">
        <v>1121572.6397515528</v>
      </c>
      <c r="AB56" s="107">
        <v>0</v>
      </c>
      <c r="AC56" s="104">
        <v>2471931.2795031057</v>
      </c>
      <c r="AD56" s="104">
        <v>1755911.7944099377</v>
      </c>
      <c r="AE56" s="104">
        <v>803549.65838509309</v>
      </c>
      <c r="AF56" s="104">
        <v>1171021.2374677006</v>
      </c>
      <c r="AG56" s="104">
        <v>11210214.51273944</v>
      </c>
      <c r="AH56" s="104">
        <v>801692.73675774538</v>
      </c>
      <c r="AI56" s="104">
        <v>763526.77018633531</v>
      </c>
      <c r="AJ56" s="104">
        <v>856283.55102122144</v>
      </c>
      <c r="AK56" s="104">
        <v>855356</v>
      </c>
      <c r="AL56" s="104">
        <v>839329.73032027623</v>
      </c>
      <c r="AM56" s="104">
        <v>872660.85953904642</v>
      </c>
      <c r="AN56" s="104">
        <v>802442.23788019351</v>
      </c>
      <c r="AO56" s="104">
        <v>723510.97761412349</v>
      </c>
      <c r="AP56" s="104">
        <v>691627.01870167209</v>
      </c>
      <c r="AQ56" s="104">
        <v>645760.13055977784</v>
      </c>
      <c r="AR56" s="104">
        <v>699020.41829060053</v>
      </c>
      <c r="AS56" s="104">
        <v>621955.88681243197</v>
      </c>
      <c r="AT56" s="104">
        <v>615047.92960516328</v>
      </c>
      <c r="AU56" s="104">
        <v>588436.82195078395</v>
      </c>
      <c r="AV56" s="104">
        <v>579279.25340528996</v>
      </c>
      <c r="AW56" s="104">
        <v>4878179.1748968577</v>
      </c>
      <c r="AX56" s="108">
        <f t="shared" si="24"/>
        <v>34368310.619798347</v>
      </c>
      <c r="AY56" s="106"/>
      <c r="AZ56" s="103">
        <v>2161576.3602484474</v>
      </c>
      <c r="BA56" s="107">
        <v>0</v>
      </c>
      <c r="BB56" s="104">
        <v>4877535.7204968948</v>
      </c>
      <c r="BC56" s="104">
        <v>1360591.1055900622</v>
      </c>
      <c r="BD56" s="104">
        <v>1548659.3416149069</v>
      </c>
      <c r="BE56" s="104">
        <v>2256877.2940286594</v>
      </c>
      <c r="BF56" s="104">
        <v>21605140.697279654</v>
      </c>
      <c r="BG56" s="104">
        <v>1545080.5472058367</v>
      </c>
      <c r="BH56" s="104">
        <v>1159368.2298136647</v>
      </c>
      <c r="BI56" s="104">
        <v>1353935.845158549</v>
      </c>
      <c r="BJ56" s="104">
        <v>1359841</v>
      </c>
      <c r="BK56" s="104">
        <v>1319461.9296797237</v>
      </c>
      <c r="BL56" s="104">
        <v>1414662.0911609535</v>
      </c>
      <c r="BM56" s="104">
        <v>1307417.4871198065</v>
      </c>
      <c r="BN56" s="104">
        <v>1194859.4044815053</v>
      </c>
      <c r="BO56" s="107">
        <v>1161016.067298328</v>
      </c>
      <c r="BP56" s="107">
        <v>1161848.5314402224</v>
      </c>
      <c r="BQ56" s="107">
        <v>1162494.2048093996</v>
      </c>
      <c r="BR56" s="107">
        <v>1077447.2043105678</v>
      </c>
      <c r="BS56" s="107">
        <v>1030215.0320948369</v>
      </c>
      <c r="BT56" s="104">
        <v>972888.83684921626</v>
      </c>
      <c r="BU56" s="104">
        <v>955804.71929470997</v>
      </c>
      <c r="BV56" s="107">
        <v>8565504.1600573603</v>
      </c>
      <c r="BW56" s="108">
        <f t="shared" si="25"/>
        <v>60552225.810033299</v>
      </c>
      <c r="BX56" s="106"/>
      <c r="BY56" s="109">
        <v>0</v>
      </c>
      <c r="BZ56" s="104">
        <v>0</v>
      </c>
      <c r="CA56" s="104">
        <v>0</v>
      </c>
      <c r="CB56" s="104">
        <v>91576</v>
      </c>
      <c r="CC56" s="104">
        <v>210168</v>
      </c>
      <c r="CD56" s="104">
        <v>93711</v>
      </c>
      <c r="CE56" s="104">
        <v>1836683</v>
      </c>
      <c r="CF56" s="104">
        <v>0</v>
      </c>
      <c r="CG56" s="104">
        <v>0</v>
      </c>
      <c r="CH56" s="104">
        <v>0</v>
      </c>
      <c r="CI56" s="110">
        <v>0</v>
      </c>
      <c r="CJ56" s="110">
        <v>0</v>
      </c>
      <c r="CK56" s="110">
        <v>0</v>
      </c>
      <c r="CL56" s="110">
        <v>0</v>
      </c>
      <c r="CM56" s="110">
        <v>0</v>
      </c>
      <c r="CN56" s="107">
        <v>0</v>
      </c>
      <c r="CO56" s="107">
        <v>0</v>
      </c>
      <c r="CP56" s="107">
        <v>0</v>
      </c>
      <c r="CQ56" s="107">
        <v>0</v>
      </c>
      <c r="CR56" s="107">
        <v>0</v>
      </c>
      <c r="CS56" s="107">
        <v>0</v>
      </c>
      <c r="CT56" s="107">
        <v>0</v>
      </c>
      <c r="CU56" s="107">
        <v>0</v>
      </c>
      <c r="CV56" s="108">
        <f t="shared" si="26"/>
        <v>2232138</v>
      </c>
    </row>
    <row r="57" spans="1:100" s="3" customFormat="1">
      <c r="A57" s="3" t="s">
        <v>49</v>
      </c>
      <c r="B57" s="103">
        <f t="shared" si="27"/>
        <v>146486</v>
      </c>
      <c r="C57" s="104">
        <f t="shared" si="28"/>
        <v>0</v>
      </c>
      <c r="D57" s="104">
        <f t="shared" si="29"/>
        <v>501085.00000000006</v>
      </c>
      <c r="E57" s="104">
        <f t="shared" si="30"/>
        <v>80181.399999999994</v>
      </c>
      <c r="F57" s="104">
        <f t="shared" si="31"/>
        <v>115075</v>
      </c>
      <c r="G57" s="104">
        <f t="shared" si="32"/>
        <v>427537.54801062704</v>
      </c>
      <c r="H57" s="104">
        <f t="shared" si="33"/>
        <v>1799896.9156090971</v>
      </c>
      <c r="I57" s="104">
        <f t="shared" si="34"/>
        <v>127347.8</v>
      </c>
      <c r="J57" s="104">
        <f t="shared" si="35"/>
        <v>127219</v>
      </c>
      <c r="K57" s="104">
        <f t="shared" si="36"/>
        <v>135873.02096324839</v>
      </c>
      <c r="L57" s="104">
        <f t="shared" si="37"/>
        <v>110141</v>
      </c>
      <c r="M57" s="104">
        <f t="shared" si="38"/>
        <v>125121.51000000001</v>
      </c>
      <c r="N57" s="104">
        <f t="shared" si="39"/>
        <v>129873.17710000002</v>
      </c>
      <c r="O57" s="104">
        <f t="shared" si="40"/>
        <v>119940.95000000001</v>
      </c>
      <c r="P57" s="104">
        <f t="shared" si="41"/>
        <v>110595.38375779541</v>
      </c>
      <c r="Q57" s="104">
        <f t="shared" si="42"/>
        <v>107096.92799999999</v>
      </c>
      <c r="R57" s="104">
        <f t="shared" si="43"/>
        <v>198594.73599999998</v>
      </c>
      <c r="S57" s="104">
        <f t="shared" si="44"/>
        <v>104120.15429999999</v>
      </c>
      <c r="T57" s="104">
        <f t="shared" si="45"/>
        <v>98458.122418999978</v>
      </c>
      <c r="U57" s="104">
        <f t="shared" si="46"/>
        <v>94307.640100000004</v>
      </c>
      <c r="V57" s="104">
        <f t="shared" si="47"/>
        <v>890314.9515275337</v>
      </c>
      <c r="W57" s="104">
        <f t="shared" si="48"/>
        <v>1197</v>
      </c>
      <c r="X57" s="104">
        <f t="shared" si="49"/>
        <v>6018.2796705585351</v>
      </c>
      <c r="Y57" s="105">
        <f t="shared" si="23"/>
        <v>5556481.5174578605</v>
      </c>
      <c r="Z57" s="106"/>
      <c r="AA57" s="103">
        <v>46258.73684210526</v>
      </c>
      <c r="AB57" s="107">
        <v>0</v>
      </c>
      <c r="AC57" s="104">
        <v>157705.36842105264</v>
      </c>
      <c r="AD57" s="104">
        <v>66102.136842105261</v>
      </c>
      <c r="AE57" s="104">
        <v>36339.473684210527</v>
      </c>
      <c r="AF57" s="104">
        <v>135011.85726651381</v>
      </c>
      <c r="AG57" s="104">
        <v>568388.49966603064</v>
      </c>
      <c r="AH57" s="104">
        <v>40215.094736842104</v>
      </c>
      <c r="AI57" s="104">
        <v>50705.789473684206</v>
      </c>
      <c r="AJ57" s="104">
        <v>52929.887892301973</v>
      </c>
      <c r="AK57" s="104">
        <v>42674</v>
      </c>
      <c r="AL57" s="104">
        <v>42752.864733916191</v>
      </c>
      <c r="AM57" s="104">
        <v>41559.811558352696</v>
      </c>
      <c r="AN57" s="104">
        <v>38325.513198296343</v>
      </c>
      <c r="AO57" s="104">
        <v>35807.021521378461</v>
      </c>
      <c r="AP57" s="104">
        <v>34655.473657728086</v>
      </c>
      <c r="AQ57" s="104">
        <v>126061.83822310268</v>
      </c>
      <c r="AR57" s="104">
        <v>31537.761391149928</v>
      </c>
      <c r="AS57" s="104">
        <v>31194.758901415724</v>
      </c>
      <c r="AT57" s="104">
        <v>29994.041232746844</v>
      </c>
      <c r="AU57" s="104">
        <v>269973.92594870902</v>
      </c>
      <c r="AV57" s="104">
        <v>1197</v>
      </c>
      <c r="AW57" s="104">
        <v>6018.2796705585351</v>
      </c>
      <c r="AX57" s="108">
        <f t="shared" si="24"/>
        <v>1885409.1348622011</v>
      </c>
      <c r="AY57" s="106"/>
      <c r="AZ57" s="103">
        <v>100227.26315789473</v>
      </c>
      <c r="BA57" s="107">
        <v>0</v>
      </c>
      <c r="BB57" s="104">
        <v>343379.63157894742</v>
      </c>
      <c r="BC57" s="104">
        <v>14079.263157894737</v>
      </c>
      <c r="BD57" s="104">
        <v>78735.526315789481</v>
      </c>
      <c r="BE57" s="104">
        <v>292525.69074411324</v>
      </c>
      <c r="BF57" s="104">
        <v>1231508.4159430666</v>
      </c>
      <c r="BG57" s="104">
        <v>87132.705263157899</v>
      </c>
      <c r="BH57" s="104">
        <v>76513.210526315786</v>
      </c>
      <c r="BI57" s="104">
        <v>82943.133070946409</v>
      </c>
      <c r="BJ57" s="104">
        <v>67467</v>
      </c>
      <c r="BK57" s="104">
        <v>82368.645266083811</v>
      </c>
      <c r="BL57" s="104">
        <v>88313.365541647319</v>
      </c>
      <c r="BM57" s="104">
        <v>81615.436801703661</v>
      </c>
      <c r="BN57" s="104">
        <v>74788.362236416957</v>
      </c>
      <c r="BO57" s="107">
        <v>72441.4543422719</v>
      </c>
      <c r="BP57" s="107">
        <v>72532.897776897298</v>
      </c>
      <c r="BQ57" s="107">
        <v>72582.392908850074</v>
      </c>
      <c r="BR57" s="107">
        <v>67263.36351758425</v>
      </c>
      <c r="BS57" s="107">
        <v>64313.59886725316</v>
      </c>
      <c r="BT57" s="104">
        <v>620341.02557882469</v>
      </c>
      <c r="BU57" s="104">
        <v>0</v>
      </c>
      <c r="BV57" s="107">
        <v>0</v>
      </c>
      <c r="BW57" s="108">
        <f t="shared" si="25"/>
        <v>3671072.3825956592</v>
      </c>
      <c r="BX57" s="106"/>
      <c r="BY57" s="109">
        <v>0</v>
      </c>
      <c r="BZ57" s="104">
        <v>0</v>
      </c>
      <c r="CA57" s="104">
        <v>0</v>
      </c>
      <c r="CB57" s="104">
        <v>0</v>
      </c>
      <c r="CC57" s="104">
        <v>0</v>
      </c>
      <c r="CD57" s="104">
        <v>0</v>
      </c>
      <c r="CE57" s="104">
        <v>0</v>
      </c>
      <c r="CF57" s="104">
        <v>0</v>
      </c>
      <c r="CG57" s="104">
        <v>0</v>
      </c>
      <c r="CH57" s="104">
        <v>0</v>
      </c>
      <c r="CI57" s="110">
        <v>0</v>
      </c>
      <c r="CJ57" s="110">
        <v>0</v>
      </c>
      <c r="CK57" s="110">
        <v>0</v>
      </c>
      <c r="CL57" s="110">
        <v>0</v>
      </c>
      <c r="CM57" s="110">
        <v>0</v>
      </c>
      <c r="CN57" s="107">
        <v>0</v>
      </c>
      <c r="CO57" s="107">
        <v>0</v>
      </c>
      <c r="CP57" s="107">
        <v>0</v>
      </c>
      <c r="CQ57" s="107">
        <v>0</v>
      </c>
      <c r="CR57" s="107">
        <v>0</v>
      </c>
      <c r="CS57" s="107">
        <v>0</v>
      </c>
      <c r="CT57" s="107">
        <v>0</v>
      </c>
      <c r="CU57" s="107">
        <v>0</v>
      </c>
      <c r="CV57" s="108">
        <f t="shared" si="26"/>
        <v>0</v>
      </c>
    </row>
    <row r="58" spans="1:100" s="3" customFormat="1">
      <c r="A58" s="3" t="s">
        <v>50</v>
      </c>
      <c r="B58" s="103">
        <f t="shared" si="27"/>
        <v>1894962</v>
      </c>
      <c r="C58" s="104">
        <f t="shared" si="28"/>
        <v>0</v>
      </c>
      <c r="D58" s="104">
        <f t="shared" si="29"/>
        <v>5373024</v>
      </c>
      <c r="E58" s="104">
        <f t="shared" si="30"/>
        <v>2163477.5</v>
      </c>
      <c r="F58" s="104">
        <f t="shared" si="31"/>
        <v>1741328.0141500002</v>
      </c>
      <c r="G58" s="104">
        <f t="shared" si="32"/>
        <v>2774586.093754027</v>
      </c>
      <c r="H58" s="104">
        <f t="shared" si="33"/>
        <v>23572334.676763747</v>
      </c>
      <c r="I58" s="104">
        <f t="shared" si="34"/>
        <v>1569383.82</v>
      </c>
      <c r="J58" s="104">
        <f t="shared" si="35"/>
        <v>1382403.0000000002</v>
      </c>
      <c r="K58" s="104">
        <f t="shared" si="36"/>
        <v>1550207.6384925486</v>
      </c>
      <c r="L58" s="104">
        <f t="shared" si="37"/>
        <v>2042956</v>
      </c>
      <c r="M58" s="104">
        <f t="shared" si="38"/>
        <v>1504806.8499999999</v>
      </c>
      <c r="N58" s="104">
        <f t="shared" si="39"/>
        <v>1598208.9697000002</v>
      </c>
      <c r="O58" s="104">
        <f t="shared" si="40"/>
        <v>1489071.64</v>
      </c>
      <c r="P58" s="104">
        <f t="shared" si="41"/>
        <v>1324066.8822601668</v>
      </c>
      <c r="Q58" s="104">
        <f t="shared" si="42"/>
        <v>1310449.236</v>
      </c>
      <c r="R58" s="104">
        <f t="shared" si="43"/>
        <v>1279626.142</v>
      </c>
      <c r="S58" s="104">
        <f t="shared" si="44"/>
        <v>1293020.0500999999</v>
      </c>
      <c r="T58" s="104">
        <f t="shared" si="45"/>
        <v>1195915.557033</v>
      </c>
      <c r="U58" s="104">
        <f t="shared" si="46"/>
        <v>1141031.0107000002</v>
      </c>
      <c r="V58" s="104">
        <f t="shared" si="47"/>
        <v>10927257.199398782</v>
      </c>
      <c r="W58" s="104">
        <f t="shared" si="48"/>
        <v>11369</v>
      </c>
      <c r="X58" s="104">
        <f t="shared" si="49"/>
        <v>57161.087363893072</v>
      </c>
      <c r="Y58" s="105">
        <f t="shared" si="23"/>
        <v>67196646.367716178</v>
      </c>
      <c r="Z58" s="106"/>
      <c r="AA58" s="103">
        <v>378992.4</v>
      </c>
      <c r="AB58" s="107">
        <v>0</v>
      </c>
      <c r="AC58" s="104">
        <v>1077771.3999999999</v>
      </c>
      <c r="AD58" s="104">
        <v>1209273.7</v>
      </c>
      <c r="AE58" s="104">
        <v>776960.24283</v>
      </c>
      <c r="AF58" s="104">
        <v>544200.81875080545</v>
      </c>
      <c r="AG58" s="104">
        <v>4708885.9353527492</v>
      </c>
      <c r="AH58" s="104">
        <v>313876.76400000002</v>
      </c>
      <c r="AI58" s="104">
        <v>329961.60000000003</v>
      </c>
      <c r="AJ58" s="104">
        <v>376841.41381591122</v>
      </c>
      <c r="AK58" s="104">
        <v>438749</v>
      </c>
      <c r="AL58" s="104">
        <v>332798.12791657314</v>
      </c>
      <c r="AM58" s="104">
        <v>341672.04512961529</v>
      </c>
      <c r="AN58" s="104">
        <v>327973.13965032488</v>
      </c>
      <c r="AO58" s="104">
        <v>265914.94029944181</v>
      </c>
      <c r="AP58" s="104">
        <v>279038.57822360552</v>
      </c>
      <c r="AQ58" s="104">
        <v>247488.62204440153</v>
      </c>
      <c r="AR58" s="104">
        <v>260306.87587915134</v>
      </c>
      <c r="AS58" s="104">
        <v>238871.46752121323</v>
      </c>
      <c r="AT58" s="104">
        <v>225949.24320676315</v>
      </c>
      <c r="AU58" s="104">
        <v>2100964.3870395734</v>
      </c>
      <c r="AV58" s="104">
        <v>11369</v>
      </c>
      <c r="AW58" s="104">
        <v>57161.087363893072</v>
      </c>
      <c r="AX58" s="108">
        <f t="shared" si="24"/>
        <v>14845020.789024021</v>
      </c>
      <c r="AY58" s="106"/>
      <c r="AZ58" s="103">
        <v>1515969.6</v>
      </c>
      <c r="BA58" s="107">
        <v>0</v>
      </c>
      <c r="BB58" s="104">
        <v>4295252.5999999996</v>
      </c>
      <c r="BC58" s="104">
        <v>954203.8</v>
      </c>
      <c r="BD58" s="104">
        <v>964367.77132000029</v>
      </c>
      <c r="BE58" s="104">
        <v>2176803.2750032218</v>
      </c>
      <c r="BF58" s="104">
        <v>18835543.741410997</v>
      </c>
      <c r="BG58" s="104">
        <v>1255507.0560000001</v>
      </c>
      <c r="BH58" s="104">
        <v>1052441.4000000001</v>
      </c>
      <c r="BI58" s="104">
        <v>1173366.2246766374</v>
      </c>
      <c r="BJ58" s="104">
        <v>1604207</v>
      </c>
      <c r="BK58" s="104">
        <v>1172008.7220834268</v>
      </c>
      <c r="BL58" s="104">
        <v>1256536.9245703849</v>
      </c>
      <c r="BM58" s="104">
        <v>1161098.5003496751</v>
      </c>
      <c r="BN58" s="104">
        <v>1058151.941960725</v>
      </c>
      <c r="BO58" s="107">
        <v>1031410.6577763945</v>
      </c>
      <c r="BP58" s="107">
        <v>1032137.5199555984</v>
      </c>
      <c r="BQ58" s="107">
        <v>1032713.1742208485</v>
      </c>
      <c r="BR58" s="107">
        <v>957044.08951178682</v>
      </c>
      <c r="BS58" s="107">
        <v>915081.76749323704</v>
      </c>
      <c r="BT58" s="104">
        <v>8826292.8123592082</v>
      </c>
      <c r="BU58" s="104">
        <v>0</v>
      </c>
      <c r="BV58" s="107">
        <v>0</v>
      </c>
      <c r="BW58" s="108">
        <f t="shared" si="25"/>
        <v>52270138.578692138</v>
      </c>
      <c r="BX58" s="106"/>
      <c r="BY58" s="109">
        <v>0</v>
      </c>
      <c r="BZ58" s="104">
        <v>0</v>
      </c>
      <c r="CA58" s="104">
        <v>0</v>
      </c>
      <c r="CB58" s="104">
        <v>0</v>
      </c>
      <c r="CC58" s="104">
        <v>0</v>
      </c>
      <c r="CD58" s="104">
        <v>53582</v>
      </c>
      <c r="CE58" s="104">
        <v>27905</v>
      </c>
      <c r="CF58" s="104">
        <v>0</v>
      </c>
      <c r="CG58" s="104">
        <v>0</v>
      </c>
      <c r="CH58" s="104">
        <v>0</v>
      </c>
      <c r="CI58" s="110">
        <v>0</v>
      </c>
      <c r="CJ58" s="110">
        <v>0</v>
      </c>
      <c r="CK58" s="110">
        <v>0</v>
      </c>
      <c r="CL58" s="110">
        <v>0</v>
      </c>
      <c r="CM58" s="110">
        <v>0</v>
      </c>
      <c r="CN58" s="107">
        <v>0</v>
      </c>
      <c r="CO58" s="107">
        <v>0</v>
      </c>
      <c r="CP58" s="107">
        <v>0</v>
      </c>
      <c r="CQ58" s="107">
        <v>0</v>
      </c>
      <c r="CR58" s="107">
        <v>0</v>
      </c>
      <c r="CS58" s="107">
        <v>0</v>
      </c>
      <c r="CT58" s="107">
        <v>0</v>
      </c>
      <c r="CU58" s="107">
        <v>0</v>
      </c>
      <c r="CV58" s="108">
        <f t="shared" si="26"/>
        <v>81487</v>
      </c>
    </row>
    <row r="59" spans="1:100" s="3" customFormat="1">
      <c r="A59" s="3" t="s">
        <v>51</v>
      </c>
      <c r="B59" s="103">
        <f t="shared" si="27"/>
        <v>200335</v>
      </c>
      <c r="C59" s="104">
        <f t="shared" si="28"/>
        <v>0</v>
      </c>
      <c r="D59" s="104">
        <f t="shared" si="29"/>
        <v>275091</v>
      </c>
      <c r="E59" s="104">
        <f t="shared" si="30"/>
        <v>654297.71</v>
      </c>
      <c r="F59" s="104">
        <f t="shared" si="31"/>
        <v>254528.43641500006</v>
      </c>
      <c r="G59" s="104">
        <f t="shared" si="32"/>
        <v>255954.2307630938</v>
      </c>
      <c r="H59" s="104">
        <f t="shared" si="33"/>
        <v>2265759.0784237115</v>
      </c>
      <c r="I59" s="104">
        <f t="shared" si="34"/>
        <v>170883.20000000001</v>
      </c>
      <c r="J59" s="104">
        <f t="shared" si="35"/>
        <v>116019</v>
      </c>
      <c r="K59" s="104">
        <f t="shared" si="36"/>
        <v>157817.06998346659</v>
      </c>
      <c r="L59" s="104">
        <f t="shared" si="37"/>
        <v>101439</v>
      </c>
      <c r="M59" s="104">
        <f t="shared" si="38"/>
        <v>154303.89000000001</v>
      </c>
      <c r="N59" s="104">
        <f t="shared" si="39"/>
        <v>163647.30070000002</v>
      </c>
      <c r="O59" s="104">
        <f t="shared" si="40"/>
        <v>155779.02000000002</v>
      </c>
      <c r="P59" s="104">
        <f t="shared" si="41"/>
        <v>139618.86226117756</v>
      </c>
      <c r="Q59" s="104">
        <f t="shared" si="42"/>
        <v>130832.436</v>
      </c>
      <c r="R59" s="104">
        <f t="shared" si="43"/>
        <v>118326.652</v>
      </c>
      <c r="S59" s="104">
        <f t="shared" si="44"/>
        <v>132071.71309999999</v>
      </c>
      <c r="T59" s="104">
        <f t="shared" si="45"/>
        <v>118212.990823</v>
      </c>
      <c r="U59" s="104">
        <f t="shared" si="46"/>
        <v>114609.46169999999</v>
      </c>
      <c r="V59" s="104">
        <f t="shared" si="47"/>
        <v>1078744.2482824293</v>
      </c>
      <c r="W59" s="104">
        <f t="shared" si="48"/>
        <v>1383</v>
      </c>
      <c r="X59" s="104">
        <f t="shared" si="49"/>
        <v>6953.4509476879321</v>
      </c>
      <c r="Y59" s="105">
        <f t="shared" si="23"/>
        <v>6766606.7513995664</v>
      </c>
      <c r="Z59" s="106"/>
      <c r="AA59" s="103">
        <v>87102.173913043487</v>
      </c>
      <c r="AB59" s="107">
        <v>0</v>
      </c>
      <c r="AC59" s="104">
        <v>111731.47826086957</v>
      </c>
      <c r="AD59" s="104">
        <v>368756.18826086959</v>
      </c>
      <c r="AE59" s="104">
        <v>174731.49365869566</v>
      </c>
      <c r="AF59" s="104">
        <v>111284.44815786688</v>
      </c>
      <c r="AG59" s="104">
        <v>985112.64279291825</v>
      </c>
      <c r="AH59" s="104">
        <v>74297.043478260879</v>
      </c>
      <c r="AI59" s="104">
        <v>58024.304347826088</v>
      </c>
      <c r="AJ59" s="104">
        <v>74725.015077021162</v>
      </c>
      <c r="AK59" s="104">
        <v>49957</v>
      </c>
      <c r="AL59" s="104">
        <v>71579.952300421894</v>
      </c>
      <c r="AM59" s="104">
        <v>75031.697612837932</v>
      </c>
      <c r="AN59" s="104">
        <v>73892.156872076332</v>
      </c>
      <c r="AO59" s="104">
        <v>64552.336240838144</v>
      </c>
      <c r="AP59" s="104">
        <v>58292.079892919646</v>
      </c>
      <c r="AQ59" s="104">
        <v>45564.821628895152</v>
      </c>
      <c r="AR59" s="104">
        <v>59318.660762439577</v>
      </c>
      <c r="AS59" s="104">
        <v>50744.305713967653</v>
      </c>
      <c r="AT59" s="104">
        <v>50085.979053150062</v>
      </c>
      <c r="AU59" s="104">
        <v>456447.37238045607</v>
      </c>
      <c r="AV59" s="104">
        <v>1383</v>
      </c>
      <c r="AW59" s="104">
        <v>6953.4509476879321</v>
      </c>
      <c r="AX59" s="108">
        <f t="shared" si="24"/>
        <v>3109567.6013530623</v>
      </c>
      <c r="AY59" s="106"/>
      <c r="AZ59" s="103">
        <v>113232.82608695651</v>
      </c>
      <c r="BA59" s="107">
        <v>0</v>
      </c>
      <c r="BB59" s="104">
        <v>163359.52173913043</v>
      </c>
      <c r="BC59" s="104">
        <v>285541.52173913037</v>
      </c>
      <c r="BD59" s="104">
        <v>79796.942756304386</v>
      </c>
      <c r="BE59" s="104">
        <v>144669.78260522691</v>
      </c>
      <c r="BF59" s="104">
        <v>1280646.4356307935</v>
      </c>
      <c r="BG59" s="104">
        <v>96586.156521739133</v>
      </c>
      <c r="BH59" s="104">
        <v>57994.695652173912</v>
      </c>
      <c r="BI59" s="104">
        <v>83092.054906445439</v>
      </c>
      <c r="BJ59" s="104">
        <v>51482</v>
      </c>
      <c r="BK59" s="104">
        <v>82723.93769957812</v>
      </c>
      <c r="BL59" s="104">
        <v>88615.603087162075</v>
      </c>
      <c r="BM59" s="104">
        <v>81886.863127923672</v>
      </c>
      <c r="BN59" s="104">
        <v>75066.526020339414</v>
      </c>
      <c r="BO59" s="107">
        <v>72540.356107080355</v>
      </c>
      <c r="BP59" s="107">
        <v>72761.83037110485</v>
      </c>
      <c r="BQ59" s="107">
        <v>72753.052337560424</v>
      </c>
      <c r="BR59" s="107">
        <v>67468.685109032347</v>
      </c>
      <c r="BS59" s="107">
        <v>64523.482646849923</v>
      </c>
      <c r="BT59" s="104">
        <v>622296.87590197334</v>
      </c>
      <c r="BU59" s="104">
        <v>0</v>
      </c>
      <c r="BV59" s="107">
        <v>0</v>
      </c>
      <c r="BW59" s="108">
        <f t="shared" si="25"/>
        <v>3657039.1500465046</v>
      </c>
      <c r="BX59" s="106"/>
      <c r="BY59" s="109">
        <v>0</v>
      </c>
      <c r="BZ59" s="104">
        <v>0</v>
      </c>
      <c r="CA59" s="104">
        <v>0</v>
      </c>
      <c r="CB59" s="104">
        <v>0</v>
      </c>
      <c r="CC59" s="104">
        <v>0</v>
      </c>
      <c r="CD59" s="104">
        <v>0</v>
      </c>
      <c r="CE59" s="104">
        <v>0</v>
      </c>
      <c r="CF59" s="104">
        <v>0</v>
      </c>
      <c r="CG59" s="104">
        <v>0</v>
      </c>
      <c r="CH59" s="104">
        <v>0</v>
      </c>
      <c r="CI59" s="110">
        <v>0</v>
      </c>
      <c r="CJ59" s="110">
        <v>0</v>
      </c>
      <c r="CK59" s="110">
        <v>0</v>
      </c>
      <c r="CL59" s="110">
        <v>0</v>
      </c>
      <c r="CM59" s="110">
        <v>0</v>
      </c>
      <c r="CN59" s="107">
        <v>0</v>
      </c>
      <c r="CO59" s="107">
        <v>0</v>
      </c>
      <c r="CP59" s="107">
        <v>0</v>
      </c>
      <c r="CQ59" s="107">
        <v>0</v>
      </c>
      <c r="CR59" s="107">
        <v>0</v>
      </c>
      <c r="CS59" s="107">
        <v>0</v>
      </c>
      <c r="CT59" s="107">
        <v>0</v>
      </c>
      <c r="CU59" s="107">
        <v>0</v>
      </c>
      <c r="CV59" s="108">
        <f t="shared" si="26"/>
        <v>0</v>
      </c>
    </row>
    <row r="60" spans="1:100" s="3" customFormat="1">
      <c r="A60" s="3" t="s">
        <v>52</v>
      </c>
      <c r="B60" s="103">
        <f t="shared" si="27"/>
        <v>0</v>
      </c>
      <c r="C60" s="104">
        <f t="shared" si="28"/>
        <v>0</v>
      </c>
      <c r="D60" s="104">
        <f t="shared" si="29"/>
        <v>0</v>
      </c>
      <c r="E60" s="104">
        <f t="shared" si="30"/>
        <v>0</v>
      </c>
      <c r="F60" s="104">
        <f t="shared" si="31"/>
        <v>0</v>
      </c>
      <c r="G60" s="104">
        <f t="shared" si="32"/>
        <v>0</v>
      </c>
      <c r="H60" s="104">
        <f t="shared" si="33"/>
        <v>0</v>
      </c>
      <c r="I60" s="104">
        <f t="shared" si="34"/>
        <v>0</v>
      </c>
      <c r="J60" s="104">
        <f t="shared" si="35"/>
        <v>0</v>
      </c>
      <c r="K60" s="104">
        <f t="shared" si="36"/>
        <v>0</v>
      </c>
      <c r="L60" s="104">
        <f t="shared" si="37"/>
        <v>0</v>
      </c>
      <c r="M60" s="104">
        <f t="shared" si="38"/>
        <v>0</v>
      </c>
      <c r="N60" s="104">
        <f t="shared" si="39"/>
        <v>0</v>
      </c>
      <c r="O60" s="104">
        <f t="shared" si="40"/>
        <v>0</v>
      </c>
      <c r="P60" s="104">
        <f t="shared" si="41"/>
        <v>0</v>
      </c>
      <c r="Q60" s="104">
        <f t="shared" si="42"/>
        <v>0</v>
      </c>
      <c r="R60" s="104">
        <f t="shared" si="43"/>
        <v>0</v>
      </c>
      <c r="S60" s="104">
        <f t="shared" si="44"/>
        <v>0</v>
      </c>
      <c r="T60" s="104">
        <f t="shared" si="45"/>
        <v>0</v>
      </c>
      <c r="U60" s="104">
        <f t="shared" si="46"/>
        <v>0</v>
      </c>
      <c r="V60" s="104">
        <f t="shared" si="47"/>
        <v>0</v>
      </c>
      <c r="W60" s="104">
        <f t="shared" si="48"/>
        <v>0</v>
      </c>
      <c r="X60" s="104">
        <f t="shared" si="49"/>
        <v>0</v>
      </c>
      <c r="Y60" s="105">
        <f t="shared" si="23"/>
        <v>0</v>
      </c>
      <c r="Z60" s="106"/>
      <c r="AA60" s="103">
        <v>0</v>
      </c>
      <c r="AB60" s="107">
        <v>0</v>
      </c>
      <c r="AC60" s="104">
        <v>0</v>
      </c>
      <c r="AD60" s="104">
        <v>0</v>
      </c>
      <c r="AE60" s="104">
        <v>0</v>
      </c>
      <c r="AF60" s="104">
        <v>0</v>
      </c>
      <c r="AG60" s="104">
        <v>0</v>
      </c>
      <c r="AH60" s="104">
        <v>0</v>
      </c>
      <c r="AI60" s="104">
        <v>0</v>
      </c>
      <c r="AJ60" s="104">
        <v>0</v>
      </c>
      <c r="AK60" s="104">
        <v>0</v>
      </c>
      <c r="AL60" s="104">
        <v>0</v>
      </c>
      <c r="AM60" s="104">
        <v>0</v>
      </c>
      <c r="AN60" s="104">
        <v>0</v>
      </c>
      <c r="AO60" s="104">
        <v>0</v>
      </c>
      <c r="AP60" s="104">
        <v>0</v>
      </c>
      <c r="AQ60" s="104">
        <v>0</v>
      </c>
      <c r="AR60" s="104">
        <v>0</v>
      </c>
      <c r="AS60" s="104">
        <v>0</v>
      </c>
      <c r="AT60" s="104">
        <v>0</v>
      </c>
      <c r="AU60" s="104">
        <v>0</v>
      </c>
      <c r="AV60" s="104">
        <v>0</v>
      </c>
      <c r="AW60" s="104">
        <v>0</v>
      </c>
      <c r="AX60" s="108">
        <f t="shared" si="24"/>
        <v>0</v>
      </c>
      <c r="AY60" s="106"/>
      <c r="AZ60" s="103">
        <v>0</v>
      </c>
      <c r="BA60" s="107">
        <v>0</v>
      </c>
      <c r="BB60" s="104">
        <v>0</v>
      </c>
      <c r="BC60" s="104">
        <v>0</v>
      </c>
      <c r="BD60" s="104">
        <v>0</v>
      </c>
      <c r="BE60" s="104">
        <v>0</v>
      </c>
      <c r="BF60" s="104">
        <v>0</v>
      </c>
      <c r="BG60" s="104">
        <v>0</v>
      </c>
      <c r="BH60" s="104">
        <v>0</v>
      </c>
      <c r="BI60" s="104">
        <v>0</v>
      </c>
      <c r="BJ60" s="104">
        <v>0</v>
      </c>
      <c r="BK60" s="104">
        <v>0</v>
      </c>
      <c r="BL60" s="104">
        <v>0</v>
      </c>
      <c r="BM60" s="104">
        <v>0</v>
      </c>
      <c r="BN60" s="104">
        <v>0</v>
      </c>
      <c r="BO60" s="107">
        <v>0</v>
      </c>
      <c r="BP60" s="107">
        <v>0</v>
      </c>
      <c r="BQ60" s="107">
        <v>0</v>
      </c>
      <c r="BR60" s="107">
        <v>0</v>
      </c>
      <c r="BS60" s="107">
        <v>0</v>
      </c>
      <c r="BT60" s="104">
        <v>0</v>
      </c>
      <c r="BU60" s="104">
        <v>0</v>
      </c>
      <c r="BV60" s="107">
        <v>0</v>
      </c>
      <c r="BW60" s="108">
        <f t="shared" si="25"/>
        <v>0</v>
      </c>
      <c r="BX60" s="106"/>
      <c r="BY60" s="103">
        <v>0</v>
      </c>
      <c r="BZ60" s="104">
        <v>0</v>
      </c>
      <c r="CA60" s="104">
        <v>0</v>
      </c>
      <c r="CB60" s="104">
        <v>0</v>
      </c>
      <c r="CC60" s="104">
        <v>0</v>
      </c>
      <c r="CD60" s="104">
        <v>0</v>
      </c>
      <c r="CE60" s="104">
        <v>0</v>
      </c>
      <c r="CF60" s="104">
        <v>0</v>
      </c>
      <c r="CG60" s="104">
        <v>0</v>
      </c>
      <c r="CH60" s="104">
        <v>0</v>
      </c>
      <c r="CI60" s="104">
        <v>0</v>
      </c>
      <c r="CJ60" s="104">
        <v>0</v>
      </c>
      <c r="CK60" s="104">
        <v>0</v>
      </c>
      <c r="CL60" s="104">
        <v>0</v>
      </c>
      <c r="CM60" s="104">
        <v>0</v>
      </c>
      <c r="CN60" s="107">
        <v>0</v>
      </c>
      <c r="CO60" s="107">
        <v>0</v>
      </c>
      <c r="CP60" s="107">
        <v>0</v>
      </c>
      <c r="CQ60" s="107">
        <v>0</v>
      </c>
      <c r="CR60" s="107">
        <v>0</v>
      </c>
      <c r="CS60" s="107">
        <v>0</v>
      </c>
      <c r="CT60" s="107">
        <v>0</v>
      </c>
      <c r="CU60" s="107">
        <v>0</v>
      </c>
      <c r="CV60" s="108">
        <f t="shared" si="26"/>
        <v>0</v>
      </c>
    </row>
    <row r="61" spans="1:100" s="3" customFormat="1">
      <c r="B61" s="103"/>
      <c r="C61" s="104"/>
      <c r="D61" s="104"/>
      <c r="E61" s="104"/>
      <c r="F61" s="104"/>
      <c r="G61" s="104"/>
      <c r="H61" s="104"/>
      <c r="I61" s="104"/>
      <c r="J61" s="104"/>
      <c r="K61" s="104"/>
      <c r="L61" s="104"/>
      <c r="M61" s="104"/>
      <c r="N61" s="104"/>
      <c r="O61" s="104"/>
      <c r="P61" s="104"/>
      <c r="Q61" s="104"/>
      <c r="R61" s="104"/>
      <c r="S61" s="104"/>
      <c r="T61" s="112"/>
      <c r="U61" s="112"/>
      <c r="V61" s="112"/>
      <c r="W61" s="112"/>
      <c r="X61" s="112"/>
      <c r="Y61" s="105"/>
      <c r="Z61" s="106"/>
      <c r="AA61" s="103"/>
      <c r="AB61" s="104"/>
      <c r="AC61" s="104"/>
      <c r="AD61" s="104"/>
      <c r="AE61" s="104"/>
      <c r="AF61" s="104"/>
      <c r="AG61" s="104"/>
      <c r="AH61" s="104"/>
      <c r="AI61" s="104"/>
      <c r="AJ61" s="104"/>
      <c r="AK61" s="104"/>
      <c r="AL61" s="104"/>
      <c r="AM61" s="104"/>
      <c r="AN61" s="104"/>
      <c r="AO61" s="104"/>
      <c r="AP61" s="104"/>
      <c r="AQ61" s="104"/>
      <c r="AR61" s="104"/>
      <c r="AS61" s="107"/>
      <c r="AT61" s="107"/>
      <c r="AU61" s="107"/>
      <c r="AV61" s="107"/>
      <c r="AW61" s="107"/>
      <c r="AX61" s="108"/>
      <c r="AY61" s="106"/>
      <c r="AZ61" s="103"/>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8"/>
      <c r="BX61" s="106"/>
      <c r="BY61" s="109"/>
      <c r="BZ61" s="104"/>
      <c r="CA61" s="104"/>
      <c r="CB61" s="104"/>
      <c r="CC61" s="104"/>
      <c r="CD61" s="104"/>
      <c r="CE61" s="104"/>
      <c r="CF61" s="104"/>
      <c r="CG61" s="104"/>
      <c r="CH61" s="104"/>
      <c r="CI61" s="104"/>
      <c r="CJ61" s="104"/>
      <c r="CK61" s="104"/>
      <c r="CL61" s="104"/>
      <c r="CM61" s="104"/>
      <c r="CN61" s="104"/>
      <c r="CO61" s="107"/>
      <c r="CP61" s="107"/>
      <c r="CQ61" s="107"/>
      <c r="CR61" s="107"/>
      <c r="CS61" s="107"/>
      <c r="CT61" s="107"/>
      <c r="CU61" s="107"/>
      <c r="CV61" s="108"/>
    </row>
    <row r="62" spans="1:100" s="3" customFormat="1" ht="15.75" thickBot="1">
      <c r="A62" s="7" t="s">
        <v>59</v>
      </c>
      <c r="B62" s="113">
        <f>SUM(B8:B60)</f>
        <v>85661232</v>
      </c>
      <c r="C62" s="114">
        <f t="shared" ref="C62:AG62" si="50">SUM(C8:C60)</f>
        <v>0</v>
      </c>
      <c r="D62" s="114">
        <f t="shared" si="50"/>
        <v>210817524</v>
      </c>
      <c r="E62" s="114">
        <f t="shared" si="50"/>
        <v>147040363.18000004</v>
      </c>
      <c r="F62" s="114">
        <f t="shared" si="50"/>
        <v>113789040.38669501</v>
      </c>
      <c r="G62" s="114">
        <f t="shared" si="50"/>
        <v>154200969.32297179</v>
      </c>
      <c r="H62" s="114">
        <f t="shared" si="50"/>
        <v>1026054837.5819019</v>
      </c>
      <c r="I62" s="114">
        <f t="shared" si="50"/>
        <v>70744749.723963574</v>
      </c>
      <c r="J62" s="114">
        <f t="shared" si="50"/>
        <v>60803255</v>
      </c>
      <c r="K62" s="114">
        <f t="shared" si="50"/>
        <v>67607900.008549094</v>
      </c>
      <c r="L62" s="114">
        <f>SUM(L8:L60)</f>
        <v>67559055</v>
      </c>
      <c r="M62" s="114">
        <f t="shared" si="50"/>
        <v>65100150.645000011</v>
      </c>
      <c r="N62" s="114">
        <f t="shared" si="50"/>
        <v>69071775.822599992</v>
      </c>
      <c r="O62" s="114">
        <f t="shared" si="50"/>
        <v>63765544.164999992</v>
      </c>
      <c r="P62" s="114">
        <f t="shared" si="50"/>
        <v>58226158.18809139</v>
      </c>
      <c r="Q62" s="114">
        <f>SUM(Q8:Q60)</f>
        <v>56330449.111388795</v>
      </c>
      <c r="R62" s="114">
        <f>SUM(R8:R60)</f>
        <v>55951474.816000015</v>
      </c>
      <c r="S62" s="114">
        <f>SUM(S8:S60)</f>
        <v>55808162.945799984</v>
      </c>
      <c r="T62" s="114">
        <f>SUM(T8:T60)</f>
        <v>51581224.722999983</v>
      </c>
      <c r="U62" s="114">
        <f t="shared" ref="U62:X62" si="51">SUM(U8:U60)</f>
        <v>49184228.13059999</v>
      </c>
      <c r="V62" s="114">
        <f t="shared" si="51"/>
        <v>223376094.53159243</v>
      </c>
      <c r="W62" s="114">
        <f t="shared" si="51"/>
        <v>219830417.76706994</v>
      </c>
      <c r="X62" s="114">
        <f t="shared" si="51"/>
        <v>39036362.126586393</v>
      </c>
      <c r="Y62" s="115">
        <f t="shared" si="50"/>
        <v>3011540969.1768107</v>
      </c>
      <c r="Z62" s="106"/>
      <c r="AA62" s="113">
        <f t="shared" si="50"/>
        <v>33314709.459350429</v>
      </c>
      <c r="AB62" s="114">
        <f t="shared" si="50"/>
        <v>0</v>
      </c>
      <c r="AC62" s="114">
        <f t="shared" si="50"/>
        <v>81281790.181279168</v>
      </c>
      <c r="AD62" s="114">
        <f t="shared" si="50"/>
        <v>73879853.457013309</v>
      </c>
      <c r="AE62" s="114">
        <f t="shared" si="50"/>
        <v>57004877.790335268</v>
      </c>
      <c r="AF62" s="114">
        <f t="shared" si="50"/>
        <v>59467585.936488345</v>
      </c>
      <c r="AG62" s="114">
        <f t="shared" si="50"/>
        <v>391373968.01267338</v>
      </c>
      <c r="AH62" s="114">
        <f>SUM(AH8:AH60)</f>
        <v>28010963.601329461</v>
      </c>
      <c r="AI62" s="114">
        <f>SUM(AI8:AI60)</f>
        <v>26776605.424293328</v>
      </c>
      <c r="AJ62" s="114">
        <f>SUM(AJ8:AJ60)</f>
        <v>29373092.491042029</v>
      </c>
      <c r="AK62" s="114">
        <f t="shared" ref="AK62:AW62" si="52">SUM(AK8:AK60)</f>
        <v>29007930</v>
      </c>
      <c r="AL62" s="114">
        <f t="shared" si="52"/>
        <v>27297434.609972451</v>
      </c>
      <c r="AM62" s="114">
        <f t="shared" si="52"/>
        <v>28541190.225569151</v>
      </c>
      <c r="AN62" s="116">
        <f t="shared" si="52"/>
        <v>26309495.981193341</v>
      </c>
      <c r="AO62" s="116">
        <f t="shared" si="52"/>
        <v>24077438.318742987</v>
      </c>
      <c r="AP62" s="116">
        <f t="shared" si="52"/>
        <v>23078233.093440685</v>
      </c>
      <c r="AQ62" s="116">
        <f>SUM(AQ8:AQ60)</f>
        <v>22655911.617881175</v>
      </c>
      <c r="AR62" s="116">
        <f t="shared" si="52"/>
        <v>22499048.359928206</v>
      </c>
      <c r="AS62" s="116">
        <f t="shared" si="52"/>
        <v>20714241.794308264</v>
      </c>
      <c r="AT62" s="116">
        <f t="shared" si="52"/>
        <v>19667540.230358008</v>
      </c>
      <c r="AU62" s="116">
        <f t="shared" si="52"/>
        <v>88070840.600813314</v>
      </c>
      <c r="AV62" s="116">
        <f t="shared" si="52"/>
        <v>83336156.700451627</v>
      </c>
      <c r="AW62" s="116">
        <f t="shared" si="52"/>
        <v>17514839.657831602</v>
      </c>
      <c r="AX62" s="117">
        <f>SUM(AX8:AX60)</f>
        <v>1213253747.5442955</v>
      </c>
      <c r="AY62" s="106"/>
      <c r="AZ62" s="113">
        <f t="shared" ref="AZ62:BW62" si="53">SUM(AZ8:AZ60)</f>
        <v>52346522.540649563</v>
      </c>
      <c r="BA62" s="118">
        <f t="shared" si="53"/>
        <v>0</v>
      </c>
      <c r="BB62" s="118">
        <f t="shared" si="53"/>
        <v>129535733.81872083</v>
      </c>
      <c r="BC62" s="118">
        <f t="shared" si="53"/>
        <v>72800726.722986639</v>
      </c>
      <c r="BD62" s="118">
        <f t="shared" si="53"/>
        <v>55326567.596359715</v>
      </c>
      <c r="BE62" s="118">
        <f t="shared" si="53"/>
        <v>90098134.38648352</v>
      </c>
      <c r="BF62" s="118">
        <f t="shared" si="53"/>
        <v>608750906.56922841</v>
      </c>
      <c r="BG62" s="118">
        <f t="shared" si="53"/>
        <v>42733786.122634105</v>
      </c>
      <c r="BH62" s="118">
        <f t="shared" si="53"/>
        <v>34026649.575706676</v>
      </c>
      <c r="BI62" s="118">
        <f t="shared" si="53"/>
        <v>38234807.517507039</v>
      </c>
      <c r="BJ62" s="118">
        <f t="shared" si="53"/>
        <v>38551125</v>
      </c>
      <c r="BK62" s="118">
        <f t="shared" si="53"/>
        <v>37802716.035027534</v>
      </c>
      <c r="BL62" s="118">
        <f t="shared" si="53"/>
        <v>40530585.597030848</v>
      </c>
      <c r="BM62" s="118">
        <f t="shared" si="53"/>
        <v>37456048.183806658</v>
      </c>
      <c r="BN62" s="118">
        <f t="shared" si="53"/>
        <v>34148719.869348422</v>
      </c>
      <c r="BO62" s="118">
        <f t="shared" si="53"/>
        <v>33252216.017948106</v>
      </c>
      <c r="BP62" s="118">
        <f t="shared" si="53"/>
        <v>33295563.198118821</v>
      </c>
      <c r="BQ62" s="118">
        <f t="shared" si="53"/>
        <v>33309114.585871797</v>
      </c>
      <c r="BR62" s="118">
        <f t="shared" si="53"/>
        <v>30866982.92869173</v>
      </c>
      <c r="BS62" s="118">
        <f t="shared" si="53"/>
        <v>29516687.900241982</v>
      </c>
      <c r="BT62" s="118">
        <f t="shared" si="53"/>
        <v>135305253.93077904</v>
      </c>
      <c r="BU62" s="118">
        <f t="shared" si="53"/>
        <v>136494261.06661835</v>
      </c>
      <c r="BV62" s="118">
        <f t="shared" si="53"/>
        <v>21521522.468754791</v>
      </c>
      <c r="BW62" s="117">
        <f t="shared" si="53"/>
        <v>1765904631.6325142</v>
      </c>
      <c r="BX62" s="106"/>
      <c r="BY62" s="119">
        <f t="shared" ref="BY62:CV62" si="54">SUM(BY8:BY60)</f>
        <v>0</v>
      </c>
      <c r="BZ62" s="114">
        <f t="shared" si="54"/>
        <v>0</v>
      </c>
      <c r="CA62" s="114">
        <f t="shared" si="54"/>
        <v>0</v>
      </c>
      <c r="CB62" s="114">
        <f t="shared" si="54"/>
        <v>359783</v>
      </c>
      <c r="CC62" s="114">
        <f t="shared" si="54"/>
        <v>1457595</v>
      </c>
      <c r="CD62" s="114">
        <f t="shared" si="54"/>
        <v>4635249</v>
      </c>
      <c r="CE62" s="114">
        <f t="shared" si="54"/>
        <v>25929963</v>
      </c>
      <c r="CF62" s="114">
        <f t="shared" si="54"/>
        <v>0</v>
      </c>
      <c r="CG62" s="114">
        <f t="shared" si="54"/>
        <v>0</v>
      </c>
      <c r="CH62" s="114">
        <f t="shared" si="54"/>
        <v>0</v>
      </c>
      <c r="CI62" s="114">
        <f t="shared" si="54"/>
        <v>0</v>
      </c>
      <c r="CJ62" s="114">
        <f t="shared" si="54"/>
        <v>0</v>
      </c>
      <c r="CK62" s="114">
        <f t="shared" si="54"/>
        <v>0</v>
      </c>
      <c r="CL62" s="114">
        <f t="shared" si="54"/>
        <v>0</v>
      </c>
      <c r="CM62" s="114">
        <f t="shared" si="54"/>
        <v>0</v>
      </c>
      <c r="CN62" s="114">
        <f>SUM(CN8:CN60)</f>
        <v>0</v>
      </c>
      <c r="CO62" s="114">
        <f>SUM(CO8:CO60)</f>
        <v>0</v>
      </c>
      <c r="CP62" s="114">
        <f>SUM(CP8:CP60)</f>
        <v>0</v>
      </c>
      <c r="CQ62" s="114">
        <f t="shared" ref="CQ62:CU62" si="55">SUM(CQ8:CQ60)</f>
        <v>0</v>
      </c>
      <c r="CR62" s="114">
        <f t="shared" si="55"/>
        <v>0</v>
      </c>
      <c r="CS62" s="114">
        <f t="shared" si="55"/>
        <v>0</v>
      </c>
      <c r="CT62" s="114">
        <f t="shared" si="55"/>
        <v>0</v>
      </c>
      <c r="CU62" s="114">
        <f t="shared" si="55"/>
        <v>0</v>
      </c>
      <c r="CV62" s="117">
        <f t="shared" si="54"/>
        <v>32382590</v>
      </c>
    </row>
    <row r="63" spans="1:100" s="121" customForma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t="s">
        <v>395</v>
      </c>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t="s">
        <v>395</v>
      </c>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t="s">
        <v>395</v>
      </c>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t="s">
        <v>395</v>
      </c>
    </row>
  </sheetData>
  <mergeCells count="1">
    <mergeCell ref="BY2:CV2"/>
  </mergeCells>
  <pageMargins left="0.25" right="0.25" top="0.75" bottom="0.25" header="0.5" footer="0.25"/>
  <pageSetup paperSize="5" scale="50" orientation="landscape" r:id="rId1"/>
  <headerFooter>
    <oddHeader xml:space="preserve">&amp;L&amp;D&amp;T&amp;Z&amp;F&amp;CAnticipated Funding Schedule – ELIC&amp;RUNAUDITED
©  NOLHGA
</oddHeader>
    <oddFooter>&amp;CFor member company and GA use only.  The data utilizes estimates and excludes many costs incurred directly by GAs.  It MAY NOT be utilized in protesting actual GA assessments.</oddFooter>
  </headerFooter>
  <colBreaks count="2" manualBreakCount="2">
    <brk id="51" min="3" max="61" man="1"/>
    <brk id="76" min="3" max="61" man="1"/>
  </col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7"/>
  <sheetViews>
    <sheetView zoomScale="75" zoomScaleNormal="75" workbookViewId="0">
      <selection activeCell="E4" sqref="E4"/>
    </sheetView>
  </sheetViews>
  <sheetFormatPr defaultRowHeight="15"/>
  <cols>
    <col min="1" max="1" width="34.28515625" style="65" customWidth="1"/>
    <col min="2" max="2" width="19" style="125" customWidth="1"/>
    <col min="3" max="3" width="16.140625" style="69" customWidth="1"/>
    <col min="4" max="4" width="17.28515625" style="65" customWidth="1"/>
    <col min="5" max="5" width="16.28515625" style="65" customWidth="1"/>
    <col min="6" max="6" width="15.7109375" style="65" customWidth="1"/>
    <col min="7" max="7" width="16.85546875" style="65" customWidth="1"/>
    <col min="8" max="8" width="17.28515625" style="65" customWidth="1"/>
    <col min="9" max="9" width="8.85546875" style="65" customWidth="1"/>
    <col min="10" max="16384" width="9.140625" style="61"/>
  </cols>
  <sheetData>
    <row r="2" spans="1:8" s="61" customFormat="1">
      <c r="A2" s="122" t="s">
        <v>417</v>
      </c>
      <c r="B2" s="122"/>
      <c r="C2" s="3"/>
      <c r="D2" s="3"/>
      <c r="E2" s="3"/>
      <c r="F2" s="3"/>
      <c r="G2" s="3"/>
      <c r="H2" s="3"/>
    </row>
    <row r="3" spans="1:8" s="61" customFormat="1">
      <c r="A3" s="3"/>
      <c r="B3" s="3"/>
      <c r="C3" s="111" t="s">
        <v>395</v>
      </c>
      <c r="D3" s="3"/>
      <c r="E3" s="3"/>
      <c r="F3" s="3"/>
      <c r="G3" s="3"/>
      <c r="H3" s="3"/>
    </row>
    <row r="4" spans="1:8" s="61" customFormat="1">
      <c r="A4" s="3"/>
      <c r="B4" s="3"/>
      <c r="C4" s="123"/>
      <c r="D4" s="123" t="s">
        <v>184</v>
      </c>
      <c r="E4" s="123" t="s">
        <v>395</v>
      </c>
      <c r="F4" s="123" t="s">
        <v>185</v>
      </c>
      <c r="G4" s="124" t="s">
        <v>395</v>
      </c>
      <c r="H4" s="3"/>
    </row>
    <row r="5" spans="1:8" s="61" customFormat="1">
      <c r="A5" s="3" t="s">
        <v>395</v>
      </c>
      <c r="B5" s="3"/>
      <c r="C5" s="123" t="s">
        <v>55</v>
      </c>
      <c r="D5" s="123" t="s">
        <v>186</v>
      </c>
      <c r="E5" s="123" t="s">
        <v>57</v>
      </c>
      <c r="F5" s="123" t="s">
        <v>186</v>
      </c>
      <c r="G5" s="124" t="s">
        <v>59</v>
      </c>
      <c r="H5" s="3"/>
    </row>
    <row r="6" spans="1:8" s="61" customFormat="1">
      <c r="A6" s="3"/>
      <c r="B6" s="3"/>
      <c r="C6" s="3"/>
      <c r="D6" s="3"/>
      <c r="E6" s="3"/>
      <c r="F6" s="3"/>
      <c r="G6" s="3"/>
      <c r="H6" s="3"/>
    </row>
    <row r="7" spans="1:8" s="61" customFormat="1">
      <c r="A7" s="111" t="s">
        <v>418</v>
      </c>
      <c r="B7" s="3"/>
      <c r="C7" s="3"/>
      <c r="D7" s="3"/>
      <c r="E7" s="3"/>
      <c r="F7" s="3"/>
      <c r="G7" s="3"/>
      <c r="H7" s="3"/>
    </row>
    <row r="8" spans="1:8" s="61" customFormat="1">
      <c r="A8" s="3" t="s">
        <v>439</v>
      </c>
      <c r="B8" s="3"/>
      <c r="C8" s="3">
        <f>+Summary!H112</f>
        <v>1936901431.3466837</v>
      </c>
      <c r="D8" s="3">
        <f>+Summary!I112</f>
        <v>3269094176.9556346</v>
      </c>
      <c r="E8" s="3">
        <f>+Summary!J112</f>
        <v>2707276229.944169</v>
      </c>
      <c r="F8" s="3">
        <f>+Summary!K112</f>
        <v>54244438.600958548</v>
      </c>
      <c r="G8" s="3">
        <f>SUM(C8:F8)</f>
        <v>7967516276.8474464</v>
      </c>
      <c r="H8" s="3"/>
    </row>
    <row r="9" spans="1:8" s="61" customFormat="1">
      <c r="A9" s="3"/>
      <c r="B9" s="3"/>
      <c r="C9" s="3"/>
      <c r="D9" s="3"/>
      <c r="E9" s="3"/>
      <c r="F9" s="3"/>
      <c r="G9" s="3"/>
      <c r="H9" s="3"/>
    </row>
    <row r="10" spans="1:8" s="61" customFormat="1">
      <c r="A10" s="111" t="s">
        <v>419</v>
      </c>
      <c r="B10" s="3"/>
      <c r="C10" s="3"/>
      <c r="D10" s="3"/>
      <c r="E10" s="3"/>
      <c r="F10" s="3"/>
      <c r="G10" s="3"/>
      <c r="H10" s="3"/>
    </row>
    <row r="11" spans="1:8" s="61" customFormat="1">
      <c r="A11" s="3" t="s">
        <v>420</v>
      </c>
      <c r="B11" s="3"/>
      <c r="C11" s="3">
        <f>-Summary!H98</f>
        <v>-229935761.07549235</v>
      </c>
      <c r="D11" s="3">
        <f>-Summary!I98</f>
        <v>-568099072.87496376</v>
      </c>
      <c r="E11" s="3">
        <f>-Summary!J98</f>
        <v>-107108974.26822948</v>
      </c>
      <c r="F11" s="3">
        <f>-Summary!K98</f>
        <v>-22642359.52283673</v>
      </c>
      <c r="G11" s="3">
        <f>SUM(C11:F11)</f>
        <v>-927786167.74152231</v>
      </c>
      <c r="H11" s="3"/>
    </row>
    <row r="12" spans="1:8" s="61" customFormat="1">
      <c r="A12" s="3" t="s">
        <v>421</v>
      </c>
      <c r="B12" s="3"/>
      <c r="C12" s="3">
        <f>-Summary!H110</f>
        <v>-1875572.1996703283</v>
      </c>
      <c r="D12" s="3">
        <f>-Summary!I110</f>
        <v>-306091.33511245198</v>
      </c>
      <c r="E12" s="3">
        <f>-Summary!J110</f>
        <v>-178328.0499641205</v>
      </c>
      <c r="F12" s="3">
        <f>-Summary!K110</f>
        <v>-27990.345253099316</v>
      </c>
      <c r="G12" s="3">
        <f>SUM(C12:F12)</f>
        <v>-2387981.9300000002</v>
      </c>
      <c r="H12" s="3"/>
    </row>
    <row r="13" spans="1:8" s="61" customFormat="1">
      <c r="A13" s="3" t="s">
        <v>422</v>
      </c>
      <c r="B13" s="3"/>
      <c r="C13" s="3">
        <f>-Summary!H51</f>
        <v>-77737216.67228657</v>
      </c>
      <c r="D13" s="3">
        <f>-Summary!I51</f>
        <v>-207739665.5091759</v>
      </c>
      <c r="E13" s="3">
        <f>-Summary!J51</f>
        <v>-59682346.659300007</v>
      </c>
      <c r="F13" s="3">
        <f>-Summary!K51</f>
        <v>0</v>
      </c>
      <c r="G13" s="3">
        <f>SUM(C13:F13)</f>
        <v>-345159228.8407625</v>
      </c>
      <c r="H13" s="3"/>
    </row>
    <row r="14" spans="1:8" s="61" customFormat="1">
      <c r="A14" s="3" t="s">
        <v>423</v>
      </c>
      <c r="B14" s="3"/>
      <c r="C14" s="3">
        <f>-Summary!H28+Summary!H17</f>
        <v>-439738747.62860942</v>
      </c>
      <c r="D14" s="3">
        <f>-Summary!I28+Summary!I17</f>
        <v>-764925701.96465182</v>
      </c>
      <c r="E14" s="3">
        <f>-Summary!J28+Summary!J17</f>
        <v>-215370853.97801477</v>
      </c>
      <c r="F14" s="3">
        <f>-Summary!K28+Summary!K17</f>
        <v>0</v>
      </c>
      <c r="G14" s="3">
        <f>SUM(C14:F14)</f>
        <v>-1420035303.5712759</v>
      </c>
      <c r="H14" s="3"/>
    </row>
    <row r="15" spans="1:8" s="61" customFormat="1">
      <c r="A15" s="3" t="s">
        <v>424</v>
      </c>
      <c r="B15" s="3"/>
      <c r="C15" s="3">
        <f>-Summary!H12</f>
        <v>-215863.61986924548</v>
      </c>
      <c r="D15" s="3">
        <f>-Summary!I12</f>
        <v>-93933.541621614961</v>
      </c>
      <c r="E15" s="3">
        <f>-Summary!J12</f>
        <v>-2324935726.9886608</v>
      </c>
      <c r="F15" s="3">
        <f>-Summary!K12</f>
        <v>0</v>
      </c>
      <c r="G15" s="3">
        <f>SUM(C15:F15)</f>
        <v>-2325245524.1501517</v>
      </c>
      <c r="H15" s="3"/>
    </row>
    <row r="16" spans="1:8" s="61" customFormat="1">
      <c r="A16" s="3"/>
      <c r="B16" s="3"/>
      <c r="C16" s="3"/>
      <c r="D16" s="3"/>
      <c r="E16" s="3"/>
      <c r="F16" s="3"/>
      <c r="G16" s="3"/>
      <c r="H16" s="3"/>
    </row>
    <row r="17" spans="1:8" s="61" customFormat="1">
      <c r="A17" s="111" t="s">
        <v>425</v>
      </c>
      <c r="B17" s="3"/>
      <c r="C17" s="3"/>
      <c r="D17" s="3"/>
      <c r="E17" s="3"/>
      <c r="F17" s="3"/>
      <c r="G17" s="3"/>
      <c r="H17" s="3"/>
    </row>
    <row r="18" spans="1:8" s="61" customFormat="1">
      <c r="A18" s="3" t="s">
        <v>426</v>
      </c>
      <c r="B18" s="124" t="s">
        <v>427</v>
      </c>
      <c r="C18" s="3">
        <v>-23886370.365868535</v>
      </c>
      <c r="D18" s="3">
        <v>-34843335.53531529</v>
      </c>
      <c r="E18" s="3">
        <v>0</v>
      </c>
      <c r="F18" s="3">
        <v>-775865.70581620326</v>
      </c>
      <c r="G18" s="3">
        <f>SUM(C18:F18)</f>
        <v>-59505571.607000031</v>
      </c>
      <c r="H18" s="3"/>
    </row>
    <row r="19" spans="1:8" s="61" customFormat="1">
      <c r="A19" s="3" t="s">
        <v>426</v>
      </c>
      <c r="B19" s="124" t="s">
        <v>428</v>
      </c>
      <c r="C19" s="3">
        <v>0</v>
      </c>
      <c r="D19" s="3">
        <v>0</v>
      </c>
      <c r="E19" s="3">
        <v>0</v>
      </c>
      <c r="F19" s="3">
        <v>0</v>
      </c>
      <c r="G19" s="3">
        <f>SUM(C19:F19)</f>
        <v>0</v>
      </c>
      <c r="H19" s="3"/>
    </row>
    <row r="20" spans="1:8" s="61" customFormat="1">
      <c r="A20" s="3" t="s">
        <v>426</v>
      </c>
      <c r="B20" s="124" t="s">
        <v>429</v>
      </c>
      <c r="C20" s="3">
        <v>0</v>
      </c>
      <c r="D20" s="3">
        <v>0</v>
      </c>
      <c r="E20" s="3">
        <v>0</v>
      </c>
      <c r="F20" s="3">
        <v>0</v>
      </c>
      <c r="G20" s="3">
        <f>SUM(C20:F20)</f>
        <v>0</v>
      </c>
      <c r="H20" s="3"/>
    </row>
    <row r="21" spans="1:8" s="61" customFormat="1">
      <c r="A21" s="3"/>
      <c r="B21" s="3"/>
      <c r="C21" s="3" t="s">
        <v>395</v>
      </c>
      <c r="D21" s="3" t="s">
        <v>395</v>
      </c>
      <c r="E21" s="3"/>
      <c r="F21" s="3"/>
      <c r="G21" s="3"/>
      <c r="H21" s="3"/>
    </row>
    <row r="22" spans="1:8" s="61" customFormat="1">
      <c r="A22" s="111" t="s">
        <v>430</v>
      </c>
      <c r="B22" s="3"/>
      <c r="C22" s="3"/>
      <c r="D22" s="3"/>
      <c r="E22" s="3"/>
      <c r="F22" s="3"/>
      <c r="G22" s="3"/>
      <c r="H22" s="3"/>
    </row>
    <row r="23" spans="1:8" s="61" customFormat="1">
      <c r="A23" s="3" t="s">
        <v>426</v>
      </c>
      <c r="B23" s="124" t="s">
        <v>431</v>
      </c>
      <c r="C23" s="3">
        <v>49741847.759408236</v>
      </c>
      <c r="D23" s="3">
        <v>72818255.437721118</v>
      </c>
      <c r="E23" s="3">
        <v>0</v>
      </c>
      <c r="F23" s="3">
        <v>1584366.9729474788</v>
      </c>
      <c r="G23" s="3">
        <f>SUM(C23:F23)</f>
        <v>124144470.17007683</v>
      </c>
      <c r="H23" s="3"/>
    </row>
    <row r="24" spans="1:8" s="61" customFormat="1">
      <c r="A24" s="3"/>
      <c r="B24" s="3"/>
      <c r="C24" s="3"/>
      <c r="D24" s="3"/>
      <c r="E24" s="3"/>
      <c r="F24" s="3"/>
      <c r="G24" s="3"/>
      <c r="H24" s="3"/>
    </row>
    <row r="25" spans="1:8" s="61" customFormat="1">
      <c r="A25" s="111" t="s">
        <v>432</v>
      </c>
      <c r="B25" s="3"/>
      <c r="C25" s="3">
        <f>SUM(C8:C23)</f>
        <v>1213253747.5442955</v>
      </c>
      <c r="D25" s="3">
        <f>SUM(D8:D23)</f>
        <v>1765904631.6325147</v>
      </c>
      <c r="E25" s="3">
        <f>SUM(E8:E23)</f>
        <v>0</v>
      </c>
      <c r="F25" s="3">
        <f>SUM(F8:F23)</f>
        <v>32382589.999999996</v>
      </c>
      <c r="G25" s="3">
        <f>SUM(G8:G23)</f>
        <v>3011540969.1768117</v>
      </c>
      <c r="H25" s="3"/>
    </row>
    <row r="26" spans="1:8" s="61" customFormat="1">
      <c r="A26" s="3"/>
      <c r="B26" s="3"/>
      <c r="C26" s="3"/>
      <c r="D26" s="3"/>
      <c r="E26" s="3"/>
      <c r="F26" s="3"/>
      <c r="G26" s="3"/>
      <c r="H26" s="3"/>
    </row>
    <row r="27" spans="1:8" s="61" customFormat="1">
      <c r="A27" s="111" t="s">
        <v>433</v>
      </c>
      <c r="B27" s="3"/>
      <c r="C27" s="3">
        <f>+'ELIC Antic Funding'!AX62</f>
        <v>1213253747.5442955</v>
      </c>
      <c r="D27" s="3">
        <f>+'ELIC Antic Funding'!BW62</f>
        <v>1765904631.6325142</v>
      </c>
      <c r="E27" s="3">
        <v>0</v>
      </c>
      <c r="F27" s="3">
        <f>+'ELIC Antic Funding'!CV62</f>
        <v>32382590</v>
      </c>
      <c r="G27" s="3">
        <f>SUM(C27:F27)</f>
        <v>3011540969.1768098</v>
      </c>
      <c r="H27" s="3"/>
    </row>
    <row r="28" spans="1:8" s="61" customFormat="1">
      <c r="A28" s="3"/>
      <c r="B28" s="3"/>
      <c r="C28" s="3"/>
      <c r="D28" s="3"/>
      <c r="E28" s="3"/>
      <c r="F28" s="3"/>
      <c r="G28" s="3"/>
      <c r="H28" s="3"/>
    </row>
    <row r="29" spans="1:8" s="61" customFormat="1">
      <c r="A29" s="3" t="s">
        <v>434</v>
      </c>
      <c r="B29" s="3"/>
      <c r="C29" s="3">
        <f>+C25-C27</f>
        <v>0</v>
      </c>
      <c r="D29" s="3">
        <f>+D25-D27</f>
        <v>0</v>
      </c>
      <c r="E29" s="3">
        <f>+E25-E27</f>
        <v>0</v>
      </c>
      <c r="F29" s="3">
        <f>+F25-F27</f>
        <v>0</v>
      </c>
      <c r="G29" s="3">
        <f>+G25-G27</f>
        <v>0</v>
      </c>
      <c r="H29" s="3"/>
    </row>
    <row r="30" spans="1:8" s="61" customFormat="1">
      <c r="A30" s="3"/>
      <c r="B30" s="3"/>
      <c r="C30" s="3"/>
      <c r="D30" s="3"/>
      <c r="E30" s="3" t="s">
        <v>395</v>
      </c>
      <c r="F30" s="3"/>
      <c r="G30" s="3"/>
      <c r="H30" s="3"/>
    </row>
    <row r="31" spans="1:8" s="61" customFormat="1">
      <c r="A31" s="3"/>
      <c r="B31" s="3"/>
      <c r="C31" s="3"/>
      <c r="D31" s="3"/>
      <c r="E31" s="3"/>
      <c r="F31" s="3"/>
      <c r="G31" s="3"/>
      <c r="H31" s="3"/>
    </row>
    <row r="32" spans="1:8" s="61" customFormat="1">
      <c r="A32" s="3"/>
      <c r="B32" s="3"/>
      <c r="C32" s="3"/>
      <c r="D32" s="3"/>
      <c r="E32" s="3"/>
      <c r="F32" s="3"/>
      <c r="G32" s="3"/>
      <c r="H32" s="3"/>
    </row>
    <row r="33" spans="1:8" s="61" customFormat="1">
      <c r="A33" s="3" t="s">
        <v>426</v>
      </c>
      <c r="B33" s="52" t="s">
        <v>435</v>
      </c>
      <c r="C33" s="3">
        <f>+Summary!H17</f>
        <v>1187398270.1507559</v>
      </c>
      <c r="D33" s="3">
        <f>+Summary!I17</f>
        <v>1727929711.730109</v>
      </c>
      <c r="E33" s="3">
        <f>+Summary!J17</f>
        <v>0</v>
      </c>
      <c r="F33" s="3">
        <f>+Summary!K17</f>
        <v>31574088.732868716</v>
      </c>
      <c r="G33" s="3">
        <f>SUM(C33:F33)</f>
        <v>2946902070.6137338</v>
      </c>
      <c r="H33" s="3"/>
    </row>
    <row r="34" spans="1:8" s="61" customFormat="1">
      <c r="A34" s="3"/>
      <c r="B34" s="52"/>
      <c r="C34" s="3"/>
      <c r="D34" s="3"/>
      <c r="E34" s="3"/>
      <c r="F34" s="3"/>
      <c r="G34" s="3"/>
      <c r="H34" s="3"/>
    </row>
    <row r="35" spans="1:8" s="61" customFormat="1">
      <c r="A35" s="3" t="s">
        <v>426</v>
      </c>
      <c r="B35" s="52" t="s">
        <v>436</v>
      </c>
      <c r="C35" s="3">
        <f>SUM(C18:C20,C23)</f>
        <v>25855477.393539701</v>
      </c>
      <c r="D35" s="3">
        <f>SUM(D18:D20,D23)</f>
        <v>37974919.902405828</v>
      </c>
      <c r="E35" s="3">
        <f>SUM(E18:E20,E23)</f>
        <v>0</v>
      </c>
      <c r="F35" s="3">
        <f>SUM(F18:F20,F23)</f>
        <v>808501.2671312755</v>
      </c>
      <c r="G35" s="3">
        <f>SUM(C35:F35)</f>
        <v>64638898.563076802</v>
      </c>
      <c r="H35" s="3"/>
    </row>
    <row r="36" spans="1:8" s="61" customFormat="1">
      <c r="A36" s="3"/>
      <c r="B36" s="52"/>
      <c r="C36" s="3"/>
      <c r="D36" s="3"/>
      <c r="E36" s="3"/>
      <c r="F36" s="3"/>
      <c r="G36" s="3"/>
      <c r="H36" s="3" t="s">
        <v>437</v>
      </c>
    </row>
    <row r="37" spans="1:8" s="61" customFormat="1">
      <c r="A37" s="3" t="s">
        <v>426</v>
      </c>
      <c r="B37" s="52" t="s">
        <v>438</v>
      </c>
      <c r="C37" s="3">
        <f>+C33+C35</f>
        <v>1213253747.5442955</v>
      </c>
      <c r="D37" s="3">
        <f>+D33+D35</f>
        <v>1765904631.6325147</v>
      </c>
      <c r="E37" s="3">
        <f>+E33+E35</f>
        <v>0</v>
      </c>
      <c r="F37" s="3">
        <f>+F33+F35</f>
        <v>32382589.999999993</v>
      </c>
      <c r="G37" s="3">
        <f>SUM(C37:F37)</f>
        <v>3011540969.1768103</v>
      </c>
      <c r="H37" s="3">
        <f>+'ELIC Antic Funding'!Y62</f>
        <v>3011540969.1768107</v>
      </c>
    </row>
  </sheetData>
  <pageMargins left="0.7" right="0.7" top="0.5" bottom="0.75" header="0.25" footer="0.3"/>
  <pageSetup scale="80" orientation="landscape" r:id="rId1"/>
  <headerFooter>
    <oddHeader>&amp;L&amp;D&amp;T&amp;Z&amp;F&amp;R© NOLHGA</oddHeader>
  </headerFooter>
  <drawing r:id="rId2"/>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86"/>
  <sheetViews>
    <sheetView zoomScale="75" zoomScaleNormal="75" workbookViewId="0">
      <selection activeCell="J26" sqref="J26"/>
    </sheetView>
  </sheetViews>
  <sheetFormatPr defaultRowHeight="15"/>
  <cols>
    <col min="1" max="1" width="17.5703125" style="65" customWidth="1"/>
    <col min="2" max="2" width="14" style="69" customWidth="1"/>
    <col min="3" max="3" width="20.42578125" style="60" customWidth="1"/>
    <col min="4" max="4" width="19.42578125" style="60" customWidth="1"/>
    <col min="5" max="5" width="19" style="60" customWidth="1"/>
    <col min="6" max="6" width="17.28515625" style="60" customWidth="1"/>
    <col min="7" max="7" width="22.85546875" style="60" customWidth="1"/>
    <col min="8" max="8" width="15" style="60" customWidth="1"/>
    <col min="9" max="9" width="21.28515625" style="60" customWidth="1"/>
    <col min="10" max="16384" width="9.140625" style="61"/>
  </cols>
  <sheetData>
    <row r="1" spans="1:9">
      <c r="A1" s="159" t="s">
        <v>393</v>
      </c>
      <c r="B1" s="159"/>
      <c r="C1" s="159"/>
      <c r="D1" s="159"/>
      <c r="E1" s="159"/>
      <c r="F1" s="159"/>
      <c r="G1" s="159"/>
      <c r="H1" s="159"/>
    </row>
    <row r="2" spans="1:9">
      <c r="A2" s="159" t="s">
        <v>394</v>
      </c>
      <c r="B2" s="159"/>
      <c r="C2" s="159"/>
      <c r="D2" s="159"/>
      <c r="E2" s="159"/>
      <c r="F2" s="159"/>
      <c r="G2" s="159"/>
      <c r="H2" s="159"/>
    </row>
    <row r="3" spans="1:9" ht="6" customHeight="1">
      <c r="A3" s="61"/>
      <c r="B3" s="62"/>
      <c r="C3" s="63"/>
      <c r="D3" s="63"/>
      <c r="E3" s="63"/>
      <c r="F3" s="63" t="s">
        <v>395</v>
      </c>
      <c r="G3" s="64" t="s">
        <v>396</v>
      </c>
      <c r="H3" s="63" t="s">
        <v>395</v>
      </c>
    </row>
    <row r="4" spans="1:9">
      <c r="B4" s="66"/>
      <c r="C4" s="63"/>
      <c r="D4" s="63" t="s">
        <v>184</v>
      </c>
      <c r="E4" s="63"/>
      <c r="F4" s="63" t="s">
        <v>185</v>
      </c>
      <c r="G4" s="64" t="s">
        <v>397</v>
      </c>
      <c r="H4" s="63" t="s">
        <v>395</v>
      </c>
    </row>
    <row r="5" spans="1:9">
      <c r="A5" s="65" t="s">
        <v>398</v>
      </c>
      <c r="B5" s="66" t="s">
        <v>399</v>
      </c>
      <c r="C5" s="63" t="s">
        <v>55</v>
      </c>
      <c r="D5" s="63" t="s">
        <v>186</v>
      </c>
      <c r="E5" s="63" t="s">
        <v>57</v>
      </c>
      <c r="F5" s="63" t="s">
        <v>186</v>
      </c>
      <c r="G5" s="64" t="s">
        <v>59</v>
      </c>
      <c r="H5" s="63" t="s">
        <v>400</v>
      </c>
      <c r="I5" s="64" t="s">
        <v>401</v>
      </c>
    </row>
    <row r="6" spans="1:9" ht="6" customHeight="1">
      <c r="B6" s="66"/>
      <c r="G6" s="67"/>
    </row>
    <row r="7" spans="1:9">
      <c r="A7" s="68" t="s">
        <v>0</v>
      </c>
      <c r="B7" s="69">
        <v>1988</v>
      </c>
      <c r="C7" s="60">
        <v>970835828</v>
      </c>
      <c r="D7" s="60">
        <v>443818753</v>
      </c>
      <c r="E7" s="60">
        <v>755579803</v>
      </c>
      <c r="F7" s="70">
        <v>0</v>
      </c>
      <c r="G7" s="71">
        <f>SUM(C7:F7)</f>
        <v>2170234384</v>
      </c>
      <c r="H7" s="60">
        <v>0</v>
      </c>
      <c r="I7" s="72"/>
    </row>
    <row r="8" spans="1:9">
      <c r="A8" s="68" t="s">
        <v>0</v>
      </c>
      <c r="B8" s="69">
        <v>1989</v>
      </c>
      <c r="C8" s="60">
        <v>961872838</v>
      </c>
      <c r="D8" s="60">
        <v>408511068</v>
      </c>
      <c r="E8" s="60">
        <v>812933944</v>
      </c>
      <c r="F8" s="70">
        <v>0</v>
      </c>
      <c r="G8" s="71">
        <f t="shared" ref="G8:G31" si="0">SUM(C8:F8)</f>
        <v>2183317850</v>
      </c>
      <c r="H8" s="60">
        <v>0</v>
      </c>
      <c r="I8" s="72"/>
    </row>
    <row r="9" spans="1:9">
      <c r="A9" s="68" t="s">
        <v>0</v>
      </c>
      <c r="B9" s="69">
        <v>1990</v>
      </c>
      <c r="C9" s="60">
        <v>989979831</v>
      </c>
      <c r="D9" s="60">
        <v>452536894.07999998</v>
      </c>
      <c r="E9" s="60">
        <v>834467504</v>
      </c>
      <c r="F9" s="70">
        <v>0</v>
      </c>
      <c r="G9" s="71">
        <f t="shared" si="0"/>
        <v>2276984229.0799999</v>
      </c>
      <c r="H9" s="60">
        <v>0</v>
      </c>
      <c r="I9" s="72"/>
    </row>
    <row r="10" spans="1:9">
      <c r="A10" s="68" t="s">
        <v>0</v>
      </c>
      <c r="B10" s="69">
        <v>1991</v>
      </c>
      <c r="C10" s="60">
        <v>1051877423</v>
      </c>
      <c r="D10" s="60">
        <v>402815551</v>
      </c>
      <c r="E10" s="60">
        <v>839729815</v>
      </c>
      <c r="F10" s="70">
        <v>0</v>
      </c>
      <c r="G10" s="71">
        <f t="shared" si="0"/>
        <v>2294422789</v>
      </c>
      <c r="H10" s="60">
        <v>0</v>
      </c>
      <c r="I10" s="72"/>
    </row>
    <row r="11" spans="1:9">
      <c r="A11" s="68" t="s">
        <v>0</v>
      </c>
      <c r="B11" s="69">
        <v>1992</v>
      </c>
      <c r="C11" s="60">
        <v>1106095824</v>
      </c>
      <c r="D11" s="60">
        <v>428907893.44</v>
      </c>
      <c r="E11" s="60">
        <v>829216722</v>
      </c>
      <c r="F11" s="70">
        <v>0</v>
      </c>
      <c r="G11" s="71">
        <f t="shared" si="0"/>
        <v>2364220439.4400001</v>
      </c>
      <c r="H11" s="60">
        <v>0</v>
      </c>
      <c r="I11" s="72"/>
    </row>
    <row r="12" spans="1:9">
      <c r="A12" s="68" t="s">
        <v>0</v>
      </c>
      <c r="B12" s="69">
        <v>1993</v>
      </c>
      <c r="C12" s="60">
        <v>1161309120</v>
      </c>
      <c r="D12" s="60">
        <v>381576205</v>
      </c>
      <c r="E12" s="60">
        <v>841132013</v>
      </c>
      <c r="F12" s="70">
        <v>0</v>
      </c>
      <c r="G12" s="71">
        <f t="shared" si="0"/>
        <v>2384017338</v>
      </c>
      <c r="H12" s="60">
        <v>0</v>
      </c>
      <c r="I12" s="72"/>
    </row>
    <row r="13" spans="1:9">
      <c r="A13" s="68" t="s">
        <v>0</v>
      </c>
      <c r="B13" s="69">
        <v>1994</v>
      </c>
      <c r="C13" s="60">
        <v>1263827052</v>
      </c>
      <c r="D13" s="60">
        <v>531556069</v>
      </c>
      <c r="E13" s="60">
        <v>845718962</v>
      </c>
      <c r="F13" s="70">
        <v>0</v>
      </c>
      <c r="G13" s="71">
        <f t="shared" si="0"/>
        <v>2641102083</v>
      </c>
      <c r="H13" s="60">
        <v>0</v>
      </c>
      <c r="I13" s="72"/>
    </row>
    <row r="14" spans="1:9">
      <c r="A14" s="68" t="s">
        <v>0</v>
      </c>
      <c r="B14" s="69">
        <v>1995</v>
      </c>
      <c r="C14" s="60">
        <v>1296860047</v>
      </c>
      <c r="D14" s="60">
        <v>548569570</v>
      </c>
      <c r="E14" s="60">
        <v>848012082</v>
      </c>
      <c r="F14" s="70">
        <v>0</v>
      </c>
      <c r="G14" s="71">
        <f t="shared" si="0"/>
        <v>2693441699</v>
      </c>
      <c r="H14" s="60">
        <v>0</v>
      </c>
      <c r="I14" s="72"/>
    </row>
    <row r="15" spans="1:9">
      <c r="A15" s="68" t="s">
        <v>0</v>
      </c>
      <c r="B15" s="69">
        <v>1996</v>
      </c>
      <c r="C15" s="60">
        <v>1277829767</v>
      </c>
      <c r="D15" s="60">
        <v>494741984</v>
      </c>
      <c r="E15" s="60">
        <v>828155819</v>
      </c>
      <c r="F15" s="70">
        <v>0</v>
      </c>
      <c r="G15" s="71">
        <f t="shared" si="0"/>
        <v>2600727570</v>
      </c>
      <c r="H15" s="60">
        <v>0</v>
      </c>
      <c r="I15" s="72"/>
    </row>
    <row r="16" spans="1:9">
      <c r="A16" s="68" t="s">
        <v>0</v>
      </c>
      <c r="B16" s="69">
        <v>1997</v>
      </c>
      <c r="C16" s="60">
        <v>1527568976</v>
      </c>
      <c r="D16" s="60">
        <v>584143645</v>
      </c>
      <c r="E16" s="60">
        <v>809928972</v>
      </c>
      <c r="F16" s="70">
        <v>0</v>
      </c>
      <c r="G16" s="71">
        <f t="shared" si="0"/>
        <v>2921641593</v>
      </c>
      <c r="H16" s="60">
        <v>0</v>
      </c>
      <c r="I16" s="72"/>
    </row>
    <row r="17" spans="1:9">
      <c r="A17" s="68" t="s">
        <v>0</v>
      </c>
      <c r="B17" s="69">
        <v>1998</v>
      </c>
      <c r="C17" s="70">
        <v>1765228816</v>
      </c>
      <c r="D17" s="70">
        <v>656412928</v>
      </c>
      <c r="E17" s="70">
        <v>801838709</v>
      </c>
      <c r="F17" s="70">
        <v>0</v>
      </c>
      <c r="G17" s="71">
        <f t="shared" si="0"/>
        <v>3223480453</v>
      </c>
      <c r="H17" s="60">
        <v>0</v>
      </c>
      <c r="I17" s="72"/>
    </row>
    <row r="18" spans="1:9">
      <c r="A18" s="68" t="s">
        <v>0</v>
      </c>
      <c r="B18" s="69">
        <v>1999</v>
      </c>
      <c r="C18" s="70">
        <v>1522162487</v>
      </c>
      <c r="D18" s="70">
        <v>970984676</v>
      </c>
      <c r="E18" s="70">
        <v>832518202</v>
      </c>
      <c r="F18" s="70">
        <v>0</v>
      </c>
      <c r="G18" s="71">
        <f t="shared" si="0"/>
        <v>3325665365</v>
      </c>
      <c r="H18" s="60">
        <v>0</v>
      </c>
      <c r="I18" s="72"/>
    </row>
    <row r="19" spans="1:9">
      <c r="A19" s="68" t="s">
        <v>0</v>
      </c>
      <c r="B19" s="69">
        <v>2000</v>
      </c>
      <c r="C19" s="70">
        <v>1495584985</v>
      </c>
      <c r="D19" s="70">
        <v>1100140248</v>
      </c>
      <c r="E19" s="70">
        <v>839904048</v>
      </c>
      <c r="F19" s="70">
        <v>0</v>
      </c>
      <c r="G19" s="71">
        <f t="shared" si="0"/>
        <v>3435629281</v>
      </c>
      <c r="H19" s="60">
        <v>0</v>
      </c>
      <c r="I19" s="72"/>
    </row>
    <row r="20" spans="1:9">
      <c r="A20" s="68" t="s">
        <v>0</v>
      </c>
      <c r="B20" s="69">
        <v>2001</v>
      </c>
      <c r="C20" s="70">
        <v>1437218805</v>
      </c>
      <c r="D20" s="70">
        <v>1353545717.5999899</v>
      </c>
      <c r="E20" s="70">
        <v>851034121</v>
      </c>
      <c r="F20" s="70">
        <v>0</v>
      </c>
      <c r="G20" s="71">
        <f t="shared" si="0"/>
        <v>3641798643.5999899</v>
      </c>
      <c r="H20" s="60">
        <v>0</v>
      </c>
      <c r="I20" s="72"/>
    </row>
    <row r="21" spans="1:9">
      <c r="A21" s="68" t="s">
        <v>0</v>
      </c>
      <c r="B21" s="69">
        <v>2002</v>
      </c>
      <c r="C21" s="70">
        <v>1476872679</v>
      </c>
      <c r="D21" s="70">
        <v>1688525889</v>
      </c>
      <c r="E21" s="70">
        <v>869103587</v>
      </c>
      <c r="F21" s="70">
        <v>0</v>
      </c>
      <c r="G21" s="71">
        <f t="shared" si="0"/>
        <v>4034502155</v>
      </c>
      <c r="H21" s="60">
        <v>0</v>
      </c>
      <c r="I21" s="72"/>
    </row>
    <row r="22" spans="1:9">
      <c r="A22" s="68" t="s">
        <v>0</v>
      </c>
      <c r="B22" s="69">
        <v>2003</v>
      </c>
      <c r="C22" s="73">
        <v>1599611950</v>
      </c>
      <c r="D22" s="73">
        <v>1597500288</v>
      </c>
      <c r="E22" s="73">
        <v>950050960</v>
      </c>
      <c r="F22" s="70">
        <v>0</v>
      </c>
      <c r="G22" s="71">
        <f t="shared" si="0"/>
        <v>4147163198</v>
      </c>
      <c r="H22" s="60">
        <v>0</v>
      </c>
      <c r="I22" s="72"/>
    </row>
    <row r="23" spans="1:9">
      <c r="A23" s="68" t="s">
        <v>0</v>
      </c>
      <c r="B23" s="69">
        <v>2004</v>
      </c>
      <c r="C23" s="73">
        <v>1580545670</v>
      </c>
      <c r="D23" s="73">
        <v>1409043866</v>
      </c>
      <c r="E23" s="73">
        <v>1002804803</v>
      </c>
      <c r="F23" s="70">
        <v>0</v>
      </c>
      <c r="G23" s="71">
        <f t="shared" si="0"/>
        <v>3992394339</v>
      </c>
      <c r="H23" s="60">
        <v>0</v>
      </c>
      <c r="I23" s="72"/>
    </row>
    <row r="24" spans="1:9">
      <c r="A24" s="68" t="s">
        <v>0</v>
      </c>
      <c r="B24" s="69">
        <v>2005</v>
      </c>
      <c r="C24" s="73">
        <v>1611639721</v>
      </c>
      <c r="D24" s="73">
        <v>1323709890</v>
      </c>
      <c r="E24" s="73">
        <v>1052387230.46</v>
      </c>
      <c r="F24" s="70">
        <v>0</v>
      </c>
      <c r="G24" s="71">
        <f t="shared" si="0"/>
        <v>3987736841.46</v>
      </c>
      <c r="H24" s="60">
        <v>0</v>
      </c>
      <c r="I24" s="72"/>
    </row>
    <row r="25" spans="1:9">
      <c r="A25" s="68" t="s">
        <v>0</v>
      </c>
      <c r="B25" s="69">
        <v>2006</v>
      </c>
      <c r="C25" s="74">
        <v>1705149763</v>
      </c>
      <c r="D25" s="74">
        <v>1528232544</v>
      </c>
      <c r="E25" s="74">
        <v>1239555578</v>
      </c>
      <c r="F25" s="74">
        <v>0</v>
      </c>
      <c r="G25" s="71">
        <f t="shared" si="0"/>
        <v>4472937885</v>
      </c>
      <c r="H25" s="60">
        <v>0</v>
      </c>
      <c r="I25" s="72"/>
    </row>
    <row r="26" spans="1:9">
      <c r="A26" s="68" t="s">
        <v>0</v>
      </c>
      <c r="B26" s="69">
        <v>2007</v>
      </c>
      <c r="C26" s="74">
        <v>1716976644</v>
      </c>
      <c r="D26" s="74">
        <v>1490878108</v>
      </c>
      <c r="E26" s="74">
        <v>1386765456</v>
      </c>
      <c r="F26" s="74">
        <v>0</v>
      </c>
      <c r="G26" s="71">
        <f t="shared" si="0"/>
        <v>4594620208</v>
      </c>
      <c r="H26" s="60">
        <v>0</v>
      </c>
      <c r="I26" s="72"/>
    </row>
    <row r="27" spans="1:9">
      <c r="A27" s="68" t="s">
        <v>0</v>
      </c>
      <c r="B27" s="69">
        <v>2008</v>
      </c>
      <c r="C27" s="74">
        <v>1721718796</v>
      </c>
      <c r="D27" s="74">
        <v>2068735254</v>
      </c>
      <c r="E27" s="74">
        <v>1392087604</v>
      </c>
      <c r="F27" s="74">
        <v>0</v>
      </c>
      <c r="G27" s="71">
        <f t="shared" si="0"/>
        <v>5182541654</v>
      </c>
      <c r="H27" s="60">
        <v>0</v>
      </c>
      <c r="I27" s="72"/>
    </row>
    <row r="28" spans="1:9">
      <c r="A28" s="68" t="s">
        <v>0</v>
      </c>
      <c r="B28" s="69">
        <v>2009</v>
      </c>
      <c r="C28" s="74">
        <v>1801381577</v>
      </c>
      <c r="D28" s="74">
        <v>2071513165</v>
      </c>
      <c r="E28" s="74">
        <v>1416706082</v>
      </c>
      <c r="F28" s="75">
        <v>0</v>
      </c>
      <c r="G28" s="71">
        <f t="shared" si="0"/>
        <v>5289600824</v>
      </c>
      <c r="H28" s="60">
        <v>0</v>
      </c>
      <c r="I28" s="72"/>
    </row>
    <row r="29" spans="1:9">
      <c r="A29" s="68" t="s">
        <v>0</v>
      </c>
      <c r="B29" s="69">
        <v>2010</v>
      </c>
      <c r="C29" s="74">
        <v>1820141971</v>
      </c>
      <c r="D29" s="74">
        <v>1704196131</v>
      </c>
      <c r="E29" s="74">
        <v>1454644461</v>
      </c>
      <c r="F29" s="75">
        <v>0</v>
      </c>
      <c r="G29" s="71">
        <f t="shared" si="0"/>
        <v>4978982563</v>
      </c>
      <c r="H29" s="60">
        <v>0</v>
      </c>
      <c r="I29" s="72"/>
    </row>
    <row r="30" spans="1:9">
      <c r="A30" s="68" t="s">
        <v>0</v>
      </c>
      <c r="B30" s="69">
        <v>2011</v>
      </c>
      <c r="C30" s="74">
        <v>1947668716</v>
      </c>
      <c r="D30" s="74">
        <v>1673224938</v>
      </c>
      <c r="E30" s="74">
        <v>1462025445.96</v>
      </c>
      <c r="F30" s="75">
        <v>0</v>
      </c>
      <c r="G30" s="71">
        <f t="shared" si="0"/>
        <v>5082919099.96</v>
      </c>
      <c r="H30" s="60">
        <v>0</v>
      </c>
      <c r="I30" s="72"/>
    </row>
    <row r="31" spans="1:9">
      <c r="A31" s="68" t="s">
        <v>0</v>
      </c>
      <c r="B31" s="69">
        <v>2012</v>
      </c>
      <c r="C31" s="74">
        <v>2024787258</v>
      </c>
      <c r="D31" s="74">
        <v>1711584871</v>
      </c>
      <c r="E31" s="74">
        <v>1447719607</v>
      </c>
      <c r="F31" s="75">
        <v>0</v>
      </c>
      <c r="G31" s="71">
        <f t="shared" si="0"/>
        <v>5184091736</v>
      </c>
      <c r="H31" s="60">
        <v>0</v>
      </c>
      <c r="I31" s="72"/>
    </row>
    <row r="32" spans="1:9">
      <c r="A32" s="68"/>
      <c r="C32" s="70"/>
      <c r="D32" s="70"/>
      <c r="E32" s="70"/>
      <c r="F32" s="70"/>
      <c r="G32" s="76"/>
      <c r="I32" s="72"/>
    </row>
    <row r="33" spans="1:9">
      <c r="A33" s="68" t="s">
        <v>1</v>
      </c>
      <c r="B33" s="69">
        <v>1988</v>
      </c>
      <c r="C33" s="70">
        <v>108194556</v>
      </c>
      <c r="D33" s="70">
        <v>146027211</v>
      </c>
      <c r="E33" s="70">
        <v>165500532</v>
      </c>
      <c r="F33" s="70">
        <v>70708094</v>
      </c>
      <c r="G33" s="71">
        <f>SUM(C33:F33)</f>
        <v>490430393</v>
      </c>
      <c r="H33" s="60">
        <v>0</v>
      </c>
      <c r="I33" s="72"/>
    </row>
    <row r="34" spans="1:9">
      <c r="A34" s="68" t="s">
        <v>1</v>
      </c>
      <c r="B34" s="69">
        <v>1989</v>
      </c>
      <c r="C34" s="70">
        <v>98720606</v>
      </c>
      <c r="D34" s="70">
        <v>80620637</v>
      </c>
      <c r="E34" s="70">
        <v>199478149</v>
      </c>
      <c r="F34" s="70">
        <v>133807535</v>
      </c>
      <c r="G34" s="71">
        <f t="shared" ref="G34:G51" si="1">SUM(C34:F34)</f>
        <v>512626927</v>
      </c>
      <c r="H34" s="60">
        <v>0</v>
      </c>
      <c r="I34" s="72"/>
    </row>
    <row r="35" spans="1:9">
      <c r="A35" s="68" t="s">
        <v>1</v>
      </c>
      <c r="B35" s="69">
        <v>1990</v>
      </c>
      <c r="C35" s="70">
        <v>105521489</v>
      </c>
      <c r="D35" s="70">
        <v>82639779.120000005</v>
      </c>
      <c r="E35" s="70">
        <v>211313179</v>
      </c>
      <c r="F35" s="70">
        <v>58817866</v>
      </c>
      <c r="G35" s="71">
        <f t="shared" si="1"/>
        <v>458292313.12</v>
      </c>
      <c r="H35" s="60">
        <v>0</v>
      </c>
      <c r="I35" s="72"/>
    </row>
    <row r="36" spans="1:9">
      <c r="A36" s="68" t="s">
        <v>1</v>
      </c>
      <c r="B36" s="69">
        <v>1991</v>
      </c>
      <c r="C36" s="70">
        <v>117021644</v>
      </c>
      <c r="D36" s="70">
        <v>74559241</v>
      </c>
      <c r="E36" s="70">
        <v>242267271</v>
      </c>
      <c r="F36" s="70">
        <v>71511693</v>
      </c>
      <c r="G36" s="71">
        <f t="shared" si="1"/>
        <v>505359849</v>
      </c>
      <c r="H36" s="60">
        <v>0</v>
      </c>
      <c r="I36" s="72"/>
    </row>
    <row r="37" spans="1:9">
      <c r="A37" s="68" t="s">
        <v>1</v>
      </c>
      <c r="B37" s="69">
        <v>1992</v>
      </c>
      <c r="C37" s="70">
        <v>118894951</v>
      </c>
      <c r="D37" s="70">
        <v>63469976.880000003</v>
      </c>
      <c r="E37" s="70">
        <v>195289258</v>
      </c>
      <c r="F37" s="70">
        <v>65045346</v>
      </c>
      <c r="G37" s="71">
        <f t="shared" si="1"/>
        <v>442699531.88</v>
      </c>
      <c r="H37" s="60">
        <v>0</v>
      </c>
      <c r="I37" s="72"/>
    </row>
    <row r="38" spans="1:9">
      <c r="A38" s="68" t="s">
        <v>1</v>
      </c>
      <c r="B38" s="69">
        <v>1993</v>
      </c>
      <c r="C38" s="70">
        <v>124823759</v>
      </c>
      <c r="D38" s="70">
        <v>54607616</v>
      </c>
      <c r="E38" s="70">
        <v>242415660</v>
      </c>
      <c r="F38" s="70">
        <v>72723507</v>
      </c>
      <c r="G38" s="71">
        <f t="shared" si="1"/>
        <v>494570542</v>
      </c>
      <c r="H38" s="60">
        <v>0</v>
      </c>
      <c r="I38" s="72"/>
    </row>
    <row r="39" spans="1:9">
      <c r="A39" s="68" t="s">
        <v>1</v>
      </c>
      <c r="B39" s="69">
        <v>1994</v>
      </c>
      <c r="C39" s="70">
        <v>132580495</v>
      </c>
      <c r="D39" s="70">
        <v>69155054</v>
      </c>
      <c r="E39" s="70">
        <v>259965547</v>
      </c>
      <c r="F39" s="70">
        <v>56724285</v>
      </c>
      <c r="G39" s="71">
        <f t="shared" si="1"/>
        <v>518425381</v>
      </c>
      <c r="H39" s="60">
        <v>0</v>
      </c>
      <c r="I39" s="72"/>
    </row>
    <row r="40" spans="1:9">
      <c r="A40" s="68" t="s">
        <v>1</v>
      </c>
      <c r="B40" s="69">
        <v>1995</v>
      </c>
      <c r="C40" s="70">
        <v>136692524</v>
      </c>
      <c r="D40" s="70">
        <v>71601082</v>
      </c>
      <c r="E40" s="70">
        <v>265469085</v>
      </c>
      <c r="F40" s="70">
        <v>49273564</v>
      </c>
      <c r="G40" s="71">
        <f t="shared" si="1"/>
        <v>523036255</v>
      </c>
      <c r="H40" s="60">
        <v>0</v>
      </c>
      <c r="I40" s="72"/>
    </row>
    <row r="41" spans="1:9">
      <c r="A41" s="68" t="s">
        <v>1</v>
      </c>
      <c r="B41" s="69">
        <v>1996</v>
      </c>
      <c r="C41" s="70">
        <v>124780376</v>
      </c>
      <c r="D41" s="70">
        <v>45704264</v>
      </c>
      <c r="E41" s="70">
        <v>270885227</v>
      </c>
      <c r="F41" s="70">
        <v>40384762</v>
      </c>
      <c r="G41" s="71">
        <f t="shared" si="1"/>
        <v>481754629</v>
      </c>
      <c r="H41" s="60">
        <v>0</v>
      </c>
      <c r="I41" s="72"/>
    </row>
    <row r="42" spans="1:9">
      <c r="A42" s="68" t="s">
        <v>1</v>
      </c>
      <c r="B42" s="69">
        <v>1997</v>
      </c>
      <c r="C42" s="70">
        <v>125738063</v>
      </c>
      <c r="D42" s="70">
        <v>66860564</v>
      </c>
      <c r="E42" s="70">
        <v>191985698</v>
      </c>
      <c r="F42" s="70">
        <v>61100032</v>
      </c>
      <c r="G42" s="71">
        <f t="shared" si="1"/>
        <v>445684357</v>
      </c>
      <c r="H42" s="60">
        <v>0</v>
      </c>
      <c r="I42" s="72"/>
    </row>
    <row r="43" spans="1:9">
      <c r="A43" s="68" t="s">
        <v>1</v>
      </c>
      <c r="B43" s="69">
        <v>1998</v>
      </c>
      <c r="C43" s="70">
        <v>123945958</v>
      </c>
      <c r="D43" s="70">
        <v>59588328</v>
      </c>
      <c r="E43" s="70">
        <v>132772524</v>
      </c>
      <c r="F43" s="70">
        <v>42355593</v>
      </c>
      <c r="G43" s="71">
        <f t="shared" si="1"/>
        <v>358662403</v>
      </c>
      <c r="H43" s="60">
        <v>0</v>
      </c>
      <c r="I43" s="72"/>
    </row>
    <row r="44" spans="1:9">
      <c r="A44" s="68" t="s">
        <v>1</v>
      </c>
      <c r="B44" s="69">
        <v>1999</v>
      </c>
      <c r="C44" s="70">
        <v>131820177</v>
      </c>
      <c r="D44" s="70">
        <v>83350395</v>
      </c>
      <c r="E44" s="70">
        <v>140227309</v>
      </c>
      <c r="F44" s="70">
        <v>42102959</v>
      </c>
      <c r="G44" s="71">
        <f t="shared" si="1"/>
        <v>397500840</v>
      </c>
      <c r="H44" s="60">
        <v>0</v>
      </c>
      <c r="I44" s="72"/>
    </row>
    <row r="45" spans="1:9">
      <c r="A45" s="68" t="s">
        <v>1</v>
      </c>
      <c r="B45" s="69">
        <v>2000</v>
      </c>
      <c r="C45" s="70">
        <v>141314368</v>
      </c>
      <c r="D45" s="70">
        <v>122751017</v>
      </c>
      <c r="E45" s="70">
        <v>158093390</v>
      </c>
      <c r="F45" s="70">
        <v>7989596</v>
      </c>
      <c r="G45" s="71">
        <f t="shared" si="1"/>
        <v>430148371</v>
      </c>
      <c r="H45" s="60">
        <f>16901665-1993499</f>
        <v>14908166</v>
      </c>
      <c r="I45" s="72" t="s">
        <v>402</v>
      </c>
    </row>
    <row r="46" spans="1:9">
      <c r="A46" s="68" t="s">
        <v>1</v>
      </c>
      <c r="B46" s="69">
        <v>2001</v>
      </c>
      <c r="C46" s="70">
        <v>173597642</v>
      </c>
      <c r="D46" s="70">
        <v>116820390</v>
      </c>
      <c r="E46" s="70">
        <v>150122514</v>
      </c>
      <c r="F46" s="70">
        <v>41824400</v>
      </c>
      <c r="G46" s="71">
        <f t="shared" si="1"/>
        <v>482364946</v>
      </c>
      <c r="H46" s="60">
        <f>5508068+61593</f>
        <v>5569661</v>
      </c>
      <c r="I46" s="72" t="s">
        <v>402</v>
      </c>
    </row>
    <row r="47" spans="1:9">
      <c r="A47" s="68" t="s">
        <v>1</v>
      </c>
      <c r="B47" s="69">
        <v>2002</v>
      </c>
      <c r="C47" s="70">
        <v>193663196</v>
      </c>
      <c r="D47" s="70">
        <v>171296638</v>
      </c>
      <c r="E47" s="70">
        <v>168182313</v>
      </c>
      <c r="F47" s="70">
        <v>15547458</v>
      </c>
      <c r="G47" s="71">
        <f t="shared" si="1"/>
        <v>548689605</v>
      </c>
      <c r="H47" s="60">
        <f>4906199+0</f>
        <v>4906199</v>
      </c>
      <c r="I47" s="72" t="s">
        <v>402</v>
      </c>
    </row>
    <row r="48" spans="1:9">
      <c r="A48" s="68" t="s">
        <v>1</v>
      </c>
      <c r="B48" s="69">
        <v>2003</v>
      </c>
      <c r="C48" s="73">
        <v>139954280</v>
      </c>
      <c r="D48" s="73">
        <v>153221020</v>
      </c>
      <c r="E48" s="73">
        <v>170635372</v>
      </c>
      <c r="F48" s="73">
        <v>16610763</v>
      </c>
      <c r="G48" s="71">
        <f t="shared" si="1"/>
        <v>480421435</v>
      </c>
      <c r="H48" s="60">
        <v>3996650</v>
      </c>
      <c r="I48" s="72" t="s">
        <v>402</v>
      </c>
    </row>
    <row r="49" spans="1:9">
      <c r="A49" s="68" t="s">
        <v>1</v>
      </c>
      <c r="B49" s="69">
        <v>2004</v>
      </c>
      <c r="C49" s="73">
        <v>147386672</v>
      </c>
      <c r="D49" s="73">
        <v>144998873</v>
      </c>
      <c r="E49" s="73">
        <v>177280241</v>
      </c>
      <c r="F49" s="73">
        <v>4960972</v>
      </c>
      <c r="G49" s="71">
        <f t="shared" si="1"/>
        <v>474626758</v>
      </c>
      <c r="H49" s="60">
        <v>3566905</v>
      </c>
      <c r="I49" s="60" t="s">
        <v>402</v>
      </c>
    </row>
    <row r="50" spans="1:9">
      <c r="A50" s="68" t="s">
        <v>1</v>
      </c>
      <c r="B50" s="69">
        <v>2005</v>
      </c>
      <c r="C50" s="73">
        <v>145601854</v>
      </c>
      <c r="D50" s="73">
        <v>159009772</v>
      </c>
      <c r="E50" s="73">
        <v>190560149.28</v>
      </c>
      <c r="F50" s="73">
        <v>8843589</v>
      </c>
      <c r="G50" s="71">
        <f t="shared" si="1"/>
        <v>504015364.27999997</v>
      </c>
      <c r="H50" s="60">
        <v>1852360</v>
      </c>
      <c r="I50" s="60" t="s">
        <v>402</v>
      </c>
    </row>
    <row r="51" spans="1:9">
      <c r="A51" s="68" t="s">
        <v>1</v>
      </c>
      <c r="B51" s="69">
        <v>2006</v>
      </c>
      <c r="C51" s="74">
        <v>174475329</v>
      </c>
      <c r="D51" s="74">
        <v>184705486</v>
      </c>
      <c r="E51" s="74">
        <v>221790985</v>
      </c>
      <c r="F51" s="74">
        <v>9483144</v>
      </c>
      <c r="G51" s="71">
        <f t="shared" si="1"/>
        <v>590454944</v>
      </c>
      <c r="H51" s="60">
        <v>1821829</v>
      </c>
      <c r="I51" s="60" t="s">
        <v>402</v>
      </c>
    </row>
    <row r="52" spans="1:9">
      <c r="A52" s="68" t="s">
        <v>1</v>
      </c>
      <c r="B52" s="69">
        <v>2007</v>
      </c>
      <c r="C52" s="74">
        <v>180292423</v>
      </c>
      <c r="D52" s="74">
        <v>231031591</v>
      </c>
      <c r="E52" s="74">
        <v>233570214</v>
      </c>
      <c r="F52" s="74">
        <v>15048615</v>
      </c>
      <c r="G52" s="71">
        <f t="shared" ref="G52:G57" si="2">SUM(C52:F52)</f>
        <v>659942843</v>
      </c>
      <c r="H52" s="60">
        <v>1147809</v>
      </c>
      <c r="I52" s="60" t="s">
        <v>402</v>
      </c>
    </row>
    <row r="53" spans="1:9">
      <c r="A53" s="68" t="s">
        <v>1</v>
      </c>
      <c r="B53" s="69">
        <v>2008</v>
      </c>
      <c r="C53" s="74">
        <v>212486382</v>
      </c>
      <c r="D53" s="74">
        <v>213904174</v>
      </c>
      <c r="E53" s="74">
        <v>252373069</v>
      </c>
      <c r="F53" s="74">
        <v>5099315</v>
      </c>
      <c r="G53" s="71">
        <f t="shared" si="2"/>
        <v>683862940</v>
      </c>
      <c r="H53" s="60">
        <v>371582</v>
      </c>
      <c r="I53" s="60" t="s">
        <v>402</v>
      </c>
    </row>
    <row r="54" spans="1:9">
      <c r="A54" s="68" t="s">
        <v>1</v>
      </c>
      <c r="B54" s="69">
        <v>2009</v>
      </c>
      <c r="C54" s="74">
        <v>266442943</v>
      </c>
      <c r="D54" s="74">
        <v>228527036</v>
      </c>
      <c r="E54" s="74">
        <v>281548760</v>
      </c>
      <c r="F54" s="74">
        <v>12409371</v>
      </c>
      <c r="G54" s="71">
        <f t="shared" si="2"/>
        <v>788928110</v>
      </c>
      <c r="H54" s="60">
        <v>748877</v>
      </c>
      <c r="I54" s="60" t="s">
        <v>402</v>
      </c>
    </row>
    <row r="55" spans="1:9">
      <c r="A55" s="68" t="s">
        <v>1</v>
      </c>
      <c r="B55" s="69">
        <v>2010</v>
      </c>
      <c r="C55" s="74">
        <v>281673668</v>
      </c>
      <c r="D55" s="75">
        <v>220667006</v>
      </c>
      <c r="E55" s="74">
        <v>308685000</v>
      </c>
      <c r="F55" s="74">
        <v>4839573</v>
      </c>
      <c r="G55" s="71">
        <f t="shared" si="2"/>
        <v>815865247</v>
      </c>
      <c r="H55" s="60">
        <f>1079945</f>
        <v>1079945</v>
      </c>
      <c r="I55" s="60" t="s">
        <v>402</v>
      </c>
    </row>
    <row r="56" spans="1:9">
      <c r="A56" s="68" t="s">
        <v>1</v>
      </c>
      <c r="B56" s="69">
        <v>2011</v>
      </c>
      <c r="C56" s="74">
        <v>276572479</v>
      </c>
      <c r="D56" s="75">
        <v>197547077</v>
      </c>
      <c r="E56" s="74">
        <v>317137286.25</v>
      </c>
      <c r="F56" s="74">
        <v>5858989</v>
      </c>
      <c r="G56" s="71">
        <f t="shared" si="2"/>
        <v>797115831.25</v>
      </c>
      <c r="H56" s="60">
        <v>597037</v>
      </c>
      <c r="I56" s="60" t="s">
        <v>402</v>
      </c>
    </row>
    <row r="57" spans="1:9">
      <c r="A57" s="68" t="s">
        <v>1</v>
      </c>
      <c r="B57" s="69">
        <v>2012</v>
      </c>
      <c r="C57" s="74">
        <v>321895443</v>
      </c>
      <c r="D57" s="75">
        <v>221068561</v>
      </c>
      <c r="E57" s="74">
        <v>319589038</v>
      </c>
      <c r="F57" s="74">
        <v>10197104</v>
      </c>
      <c r="G57" s="71">
        <f t="shared" si="2"/>
        <v>872750146</v>
      </c>
      <c r="H57" s="60">
        <v>554767</v>
      </c>
      <c r="I57" s="60" t="s">
        <v>402</v>
      </c>
    </row>
    <row r="58" spans="1:9">
      <c r="A58" s="68"/>
      <c r="C58" s="70"/>
      <c r="D58" s="70"/>
      <c r="E58" s="70"/>
      <c r="F58" s="70"/>
      <c r="G58" s="76"/>
      <c r="I58" s="72"/>
    </row>
    <row r="59" spans="1:9">
      <c r="A59" s="68" t="s">
        <v>2</v>
      </c>
      <c r="B59" s="69">
        <v>1988</v>
      </c>
      <c r="C59" s="70">
        <v>688326688</v>
      </c>
      <c r="D59" s="70">
        <v>807437615</v>
      </c>
      <c r="E59" s="70">
        <v>738008373</v>
      </c>
      <c r="F59" s="70">
        <v>0</v>
      </c>
      <c r="G59" s="71">
        <f>SUM(C59:F59)</f>
        <v>2233772676</v>
      </c>
      <c r="H59" s="60">
        <v>0</v>
      </c>
      <c r="I59" s="72"/>
    </row>
    <row r="60" spans="1:9">
      <c r="A60" s="68" t="s">
        <v>2</v>
      </c>
      <c r="B60" s="69">
        <v>1989</v>
      </c>
      <c r="C60" s="70">
        <v>618828696</v>
      </c>
      <c r="D60" s="70">
        <v>902016256</v>
      </c>
      <c r="E60" s="70">
        <v>741844889</v>
      </c>
      <c r="F60" s="70">
        <v>0</v>
      </c>
      <c r="G60" s="71">
        <f t="shared" ref="G60:G83" si="3">SUM(C60:F60)</f>
        <v>2262689841</v>
      </c>
      <c r="H60" s="60">
        <v>0</v>
      </c>
      <c r="I60" s="72"/>
    </row>
    <row r="61" spans="1:9">
      <c r="A61" s="68" t="s">
        <v>2</v>
      </c>
      <c r="B61" s="69">
        <v>1990</v>
      </c>
      <c r="C61" s="70">
        <v>668078492</v>
      </c>
      <c r="D61" s="70">
        <v>1036854061.5599999</v>
      </c>
      <c r="E61" s="70">
        <v>759453231</v>
      </c>
      <c r="F61" s="70">
        <v>0</v>
      </c>
      <c r="G61" s="71">
        <f t="shared" si="3"/>
        <v>2464385784.5599999</v>
      </c>
      <c r="H61" s="60">
        <v>0</v>
      </c>
      <c r="I61" s="72"/>
    </row>
    <row r="62" spans="1:9">
      <c r="A62" s="68" t="s">
        <v>2</v>
      </c>
      <c r="B62" s="69">
        <v>1991</v>
      </c>
      <c r="C62" s="70">
        <v>680516072</v>
      </c>
      <c r="D62" s="70">
        <v>1033819972</v>
      </c>
      <c r="E62" s="70">
        <v>818143873</v>
      </c>
      <c r="F62" s="70">
        <v>0</v>
      </c>
      <c r="G62" s="71">
        <f t="shared" si="3"/>
        <v>2532479917</v>
      </c>
      <c r="H62" s="60">
        <v>0</v>
      </c>
      <c r="I62" s="72"/>
    </row>
    <row r="63" spans="1:9">
      <c r="A63" s="68" t="s">
        <v>2</v>
      </c>
      <c r="B63" s="69">
        <v>1992</v>
      </c>
      <c r="C63" s="70">
        <v>699190174</v>
      </c>
      <c r="D63" s="70">
        <v>962225506</v>
      </c>
      <c r="E63" s="70">
        <v>888167789</v>
      </c>
      <c r="F63" s="70">
        <v>0</v>
      </c>
      <c r="G63" s="71">
        <f t="shared" si="3"/>
        <v>2549583469</v>
      </c>
      <c r="H63" s="60">
        <v>0</v>
      </c>
      <c r="I63" s="72"/>
    </row>
    <row r="64" spans="1:9">
      <c r="A64" s="68" t="s">
        <v>2</v>
      </c>
      <c r="B64" s="69">
        <v>1993</v>
      </c>
      <c r="C64" s="70">
        <v>769661289</v>
      </c>
      <c r="D64" s="70">
        <v>745520009</v>
      </c>
      <c r="E64" s="70">
        <v>899185814</v>
      </c>
      <c r="F64" s="70">
        <v>0</v>
      </c>
      <c r="G64" s="71">
        <f t="shared" si="3"/>
        <v>2414367112</v>
      </c>
      <c r="H64" s="60">
        <v>0</v>
      </c>
      <c r="I64" s="72"/>
    </row>
    <row r="65" spans="1:9">
      <c r="A65" s="68" t="s">
        <v>2</v>
      </c>
      <c r="B65" s="69">
        <v>1994</v>
      </c>
      <c r="C65" s="70">
        <v>835246733</v>
      </c>
      <c r="D65" s="70">
        <v>1057454156</v>
      </c>
      <c r="E65" s="70">
        <v>947657514</v>
      </c>
      <c r="F65" s="70">
        <v>0</v>
      </c>
      <c r="G65" s="71">
        <f t="shared" si="3"/>
        <v>2840358403</v>
      </c>
      <c r="H65" s="60">
        <v>0</v>
      </c>
      <c r="I65" s="72"/>
    </row>
    <row r="66" spans="1:9">
      <c r="A66" s="68" t="s">
        <v>2</v>
      </c>
      <c r="B66" s="69">
        <v>1995</v>
      </c>
      <c r="C66" s="70">
        <v>904819131</v>
      </c>
      <c r="D66" s="70">
        <v>1101342449</v>
      </c>
      <c r="E66" s="70">
        <v>991282948</v>
      </c>
      <c r="F66" s="70">
        <v>0</v>
      </c>
      <c r="G66" s="71">
        <f t="shared" si="3"/>
        <v>2997444528</v>
      </c>
      <c r="H66" s="60">
        <v>0</v>
      </c>
      <c r="I66" s="72"/>
    </row>
    <row r="67" spans="1:9">
      <c r="A67" s="68" t="s">
        <v>2</v>
      </c>
      <c r="B67" s="69">
        <v>1996</v>
      </c>
      <c r="C67" s="70">
        <v>914872582</v>
      </c>
      <c r="D67" s="70">
        <v>1013791854</v>
      </c>
      <c r="E67" s="70">
        <v>1016208279</v>
      </c>
      <c r="F67" s="70">
        <v>0</v>
      </c>
      <c r="G67" s="71">
        <f t="shared" si="3"/>
        <v>2944872715</v>
      </c>
      <c r="H67" s="60">
        <v>0</v>
      </c>
      <c r="I67" s="72"/>
    </row>
    <row r="68" spans="1:9">
      <c r="A68" s="68" t="s">
        <v>2</v>
      </c>
      <c r="B68" s="69">
        <v>1997</v>
      </c>
      <c r="C68" s="70">
        <v>958535220</v>
      </c>
      <c r="D68" s="70">
        <v>988369329</v>
      </c>
      <c r="E68" s="70">
        <v>1021320576</v>
      </c>
      <c r="F68" s="70">
        <v>0</v>
      </c>
      <c r="G68" s="71">
        <f t="shared" si="3"/>
        <v>2968225125</v>
      </c>
      <c r="H68" s="60">
        <v>0</v>
      </c>
      <c r="I68" s="72"/>
    </row>
    <row r="69" spans="1:9">
      <c r="A69" s="68" t="s">
        <v>2</v>
      </c>
      <c r="B69" s="69">
        <v>1998</v>
      </c>
      <c r="C69" s="70">
        <v>1066565381</v>
      </c>
      <c r="D69" s="70">
        <v>1008731917</v>
      </c>
      <c r="E69" s="70">
        <v>1116492090</v>
      </c>
      <c r="F69" s="70">
        <v>0</v>
      </c>
      <c r="G69" s="71">
        <f t="shared" si="3"/>
        <v>3191789388</v>
      </c>
      <c r="H69" s="60">
        <v>0</v>
      </c>
      <c r="I69" s="72"/>
    </row>
    <row r="70" spans="1:9">
      <c r="A70" s="68" t="s">
        <v>2</v>
      </c>
      <c r="B70" s="69">
        <v>1999</v>
      </c>
      <c r="C70" s="70">
        <v>1009492961</v>
      </c>
      <c r="D70" s="70">
        <v>1359033618</v>
      </c>
      <c r="E70" s="70">
        <v>1211810659</v>
      </c>
      <c r="F70" s="70">
        <v>0</v>
      </c>
      <c r="G70" s="71">
        <f t="shared" si="3"/>
        <v>3580337238</v>
      </c>
      <c r="H70" s="60">
        <v>0</v>
      </c>
      <c r="I70" s="72"/>
    </row>
    <row r="71" spans="1:9">
      <c r="A71" s="68" t="s">
        <v>2</v>
      </c>
      <c r="B71" s="69">
        <v>2000</v>
      </c>
      <c r="C71" s="70">
        <v>1087230956</v>
      </c>
      <c r="D71" s="70">
        <v>1428669305</v>
      </c>
      <c r="E71" s="70">
        <v>1313172243</v>
      </c>
      <c r="F71" s="70">
        <v>0</v>
      </c>
      <c r="G71" s="71">
        <f t="shared" si="3"/>
        <v>3829072504</v>
      </c>
      <c r="H71" s="60">
        <v>0</v>
      </c>
      <c r="I71" s="72"/>
    </row>
    <row r="72" spans="1:9">
      <c r="A72" s="68" t="s">
        <v>2</v>
      </c>
      <c r="B72" s="69">
        <v>2001</v>
      </c>
      <c r="C72" s="70">
        <v>1110962972</v>
      </c>
      <c r="D72" s="70">
        <v>2003768866.47</v>
      </c>
      <c r="E72" s="70">
        <v>1467882791</v>
      </c>
      <c r="F72" s="70">
        <v>0</v>
      </c>
      <c r="G72" s="71">
        <f t="shared" si="3"/>
        <v>4582614629.4700003</v>
      </c>
      <c r="H72" s="60">
        <v>0</v>
      </c>
      <c r="I72" s="72"/>
    </row>
    <row r="73" spans="1:9">
      <c r="A73" s="68" t="s">
        <v>2</v>
      </c>
      <c r="B73" s="69">
        <v>2002</v>
      </c>
      <c r="C73" s="70">
        <v>1186595842</v>
      </c>
      <c r="D73" s="70">
        <v>3012431693</v>
      </c>
      <c r="E73" s="70">
        <v>1756613240</v>
      </c>
      <c r="F73" s="70">
        <v>0</v>
      </c>
      <c r="G73" s="71">
        <f t="shared" si="3"/>
        <v>5955640775</v>
      </c>
      <c r="H73" s="60">
        <v>0</v>
      </c>
      <c r="I73" s="72"/>
    </row>
    <row r="74" spans="1:9">
      <c r="A74" s="68" t="s">
        <v>2</v>
      </c>
      <c r="B74" s="69">
        <v>2003</v>
      </c>
      <c r="C74" s="73">
        <v>1269051596</v>
      </c>
      <c r="D74" s="73">
        <v>2556235601</v>
      </c>
      <c r="E74" s="73">
        <v>2121912584</v>
      </c>
      <c r="F74" s="70">
        <v>0</v>
      </c>
      <c r="G74" s="71">
        <f t="shared" si="3"/>
        <v>5947199781</v>
      </c>
      <c r="H74" s="60">
        <v>0</v>
      </c>
      <c r="I74" s="72"/>
    </row>
    <row r="75" spans="1:9">
      <c r="A75" s="68" t="s">
        <v>2</v>
      </c>
      <c r="B75" s="69">
        <v>2004</v>
      </c>
      <c r="C75" s="77">
        <v>1391009540</v>
      </c>
      <c r="D75" s="77">
        <v>2372069445</v>
      </c>
      <c r="E75" s="77">
        <v>2449137809</v>
      </c>
      <c r="F75" s="70">
        <v>0</v>
      </c>
      <c r="G75" s="71">
        <f t="shared" si="3"/>
        <v>6212216794</v>
      </c>
      <c r="H75" s="60">
        <v>0</v>
      </c>
    </row>
    <row r="76" spans="1:9">
      <c r="A76" s="68" t="s">
        <v>2</v>
      </c>
      <c r="B76" s="69">
        <v>2005</v>
      </c>
      <c r="C76" s="77">
        <v>1479077664</v>
      </c>
      <c r="D76" s="77">
        <v>2451301787</v>
      </c>
      <c r="E76" s="77">
        <v>2565072814.9499898</v>
      </c>
      <c r="F76" s="70">
        <v>0</v>
      </c>
      <c r="G76" s="71">
        <f t="shared" si="3"/>
        <v>6495452265.9499893</v>
      </c>
      <c r="H76" s="60">
        <v>0</v>
      </c>
    </row>
    <row r="77" spans="1:9">
      <c r="A77" s="68" t="s">
        <v>2</v>
      </c>
      <c r="B77" s="69">
        <v>2006</v>
      </c>
      <c r="C77" s="74">
        <v>1780931161</v>
      </c>
      <c r="D77" s="74">
        <v>2684510258</v>
      </c>
      <c r="E77" s="74">
        <v>3172639072</v>
      </c>
      <c r="F77" s="74">
        <v>0</v>
      </c>
      <c r="G77" s="71">
        <f t="shared" si="3"/>
        <v>7638080491</v>
      </c>
      <c r="H77" s="60">
        <v>0</v>
      </c>
    </row>
    <row r="78" spans="1:9">
      <c r="A78" s="68" t="s">
        <v>2</v>
      </c>
      <c r="B78" s="69">
        <v>2007</v>
      </c>
      <c r="C78" s="74">
        <v>1667766491</v>
      </c>
      <c r="D78" s="74">
        <v>2507933408</v>
      </c>
      <c r="E78" s="74">
        <v>3465227671</v>
      </c>
      <c r="F78" s="74">
        <v>0</v>
      </c>
      <c r="G78" s="71">
        <f t="shared" si="3"/>
        <v>7640927570</v>
      </c>
      <c r="H78" s="60">
        <v>0</v>
      </c>
    </row>
    <row r="79" spans="1:9">
      <c r="A79" s="68" t="s">
        <v>2</v>
      </c>
      <c r="B79" s="69">
        <v>2008</v>
      </c>
      <c r="C79" s="74">
        <v>1711134036</v>
      </c>
      <c r="D79" s="74">
        <v>3435799732</v>
      </c>
      <c r="E79" s="74">
        <v>3520262661</v>
      </c>
      <c r="F79" s="74">
        <v>0</v>
      </c>
      <c r="G79" s="71">
        <f t="shared" si="3"/>
        <v>8667196429</v>
      </c>
      <c r="H79" s="60">
        <v>0</v>
      </c>
    </row>
    <row r="80" spans="1:9">
      <c r="A80" s="68" t="s">
        <v>2</v>
      </c>
      <c r="B80" s="69">
        <v>2009</v>
      </c>
      <c r="C80" s="74">
        <v>1825183771</v>
      </c>
      <c r="D80" s="74">
        <v>3418937829</v>
      </c>
      <c r="E80" s="74">
        <v>3407597263</v>
      </c>
      <c r="F80" s="74">
        <v>0</v>
      </c>
      <c r="G80" s="71">
        <f t="shared" si="3"/>
        <v>8651718863</v>
      </c>
      <c r="H80" s="60">
        <v>0</v>
      </c>
    </row>
    <row r="81" spans="1:9">
      <c r="A81" s="68" t="s">
        <v>2</v>
      </c>
      <c r="B81" s="69">
        <v>2010</v>
      </c>
      <c r="C81" s="74">
        <v>1869327765</v>
      </c>
      <c r="D81" s="74">
        <v>2866849158</v>
      </c>
      <c r="E81" s="74">
        <v>3334402749</v>
      </c>
      <c r="F81" s="74">
        <v>0</v>
      </c>
      <c r="G81" s="71">
        <f t="shared" si="3"/>
        <v>8070579672</v>
      </c>
      <c r="H81" s="60">
        <v>0</v>
      </c>
    </row>
    <row r="82" spans="1:9">
      <c r="A82" s="68" t="s">
        <v>2</v>
      </c>
      <c r="B82" s="69">
        <v>2011</v>
      </c>
      <c r="C82" s="74">
        <v>1955128177</v>
      </c>
      <c r="D82" s="74">
        <v>2852336498</v>
      </c>
      <c r="E82" s="74">
        <v>3587172205</v>
      </c>
      <c r="F82" s="74">
        <v>0</v>
      </c>
      <c r="G82" s="71">
        <f t="shared" si="3"/>
        <v>8394636880</v>
      </c>
      <c r="H82" s="60">
        <v>1</v>
      </c>
    </row>
    <row r="83" spans="1:9">
      <c r="A83" s="68" t="s">
        <v>2</v>
      </c>
      <c r="B83" s="69">
        <v>2012</v>
      </c>
      <c r="C83" s="74">
        <v>2002085483</v>
      </c>
      <c r="D83" s="74">
        <v>3224670239</v>
      </c>
      <c r="E83" s="74">
        <v>3599827562</v>
      </c>
      <c r="F83" s="74">
        <v>0</v>
      </c>
      <c r="G83" s="71">
        <f t="shared" si="3"/>
        <v>8826583284</v>
      </c>
      <c r="H83" s="60">
        <v>0</v>
      </c>
    </row>
    <row r="84" spans="1:9">
      <c r="A84" s="68"/>
      <c r="C84" s="70"/>
      <c r="D84" s="70"/>
      <c r="E84" s="70"/>
      <c r="F84" s="70"/>
      <c r="G84" s="76"/>
      <c r="I84" s="72"/>
    </row>
    <row r="85" spans="1:9">
      <c r="A85" s="68" t="s">
        <v>3</v>
      </c>
      <c r="B85" s="69">
        <v>1988</v>
      </c>
      <c r="C85" s="70">
        <v>403585594</v>
      </c>
      <c r="D85" s="70">
        <v>188657941</v>
      </c>
      <c r="E85" s="70">
        <v>660755540</v>
      </c>
      <c r="F85" s="70">
        <v>89549455</v>
      </c>
      <c r="G85" s="71">
        <f>SUM(C85:F85)</f>
        <v>1342548530</v>
      </c>
      <c r="H85" s="60">
        <v>0</v>
      </c>
      <c r="I85" s="72"/>
    </row>
    <row r="86" spans="1:9">
      <c r="A86" s="68" t="s">
        <v>3</v>
      </c>
      <c r="B86" s="69">
        <v>1989</v>
      </c>
      <c r="C86" s="70">
        <v>389097958</v>
      </c>
      <c r="D86" s="70">
        <v>199354598</v>
      </c>
      <c r="E86" s="70">
        <v>716957257</v>
      </c>
      <c r="F86" s="70">
        <v>88768750</v>
      </c>
      <c r="G86" s="71">
        <f t="shared" ref="G86:G103" si="4">SUM(C86:F86)</f>
        <v>1394178563</v>
      </c>
      <c r="H86" s="60">
        <v>0</v>
      </c>
      <c r="I86" s="72"/>
    </row>
    <row r="87" spans="1:9">
      <c r="A87" s="68" t="s">
        <v>3</v>
      </c>
      <c r="B87" s="69">
        <v>1990</v>
      </c>
      <c r="C87" s="70">
        <v>401230229</v>
      </c>
      <c r="D87" s="70">
        <v>224050808.16</v>
      </c>
      <c r="E87" s="70">
        <v>791102524</v>
      </c>
      <c r="F87" s="70">
        <v>83347994</v>
      </c>
      <c r="G87" s="71">
        <f t="shared" si="4"/>
        <v>1499731555.1599998</v>
      </c>
      <c r="H87" s="60">
        <v>0</v>
      </c>
      <c r="I87" s="72"/>
    </row>
    <row r="88" spans="1:9">
      <c r="A88" s="68" t="s">
        <v>3</v>
      </c>
      <c r="B88" s="69">
        <v>1991</v>
      </c>
      <c r="C88" s="70">
        <v>477470898</v>
      </c>
      <c r="D88" s="70">
        <v>200132968</v>
      </c>
      <c r="E88" s="70">
        <v>820348714</v>
      </c>
      <c r="F88" s="70">
        <v>116564832</v>
      </c>
      <c r="G88" s="71">
        <f t="shared" si="4"/>
        <v>1614517412</v>
      </c>
      <c r="H88" s="60">
        <v>0</v>
      </c>
      <c r="I88" s="72"/>
    </row>
    <row r="89" spans="1:9">
      <c r="A89" s="68" t="s">
        <v>3</v>
      </c>
      <c r="B89" s="69">
        <v>1992</v>
      </c>
      <c r="C89" s="70">
        <v>519815865</v>
      </c>
      <c r="D89" s="70">
        <v>256497944.80000001</v>
      </c>
      <c r="E89" s="70">
        <v>870503940</v>
      </c>
      <c r="F89" s="70">
        <v>97100599</v>
      </c>
      <c r="G89" s="71">
        <f t="shared" si="4"/>
        <v>1743918348.8</v>
      </c>
      <c r="H89" s="60">
        <v>0</v>
      </c>
      <c r="I89" s="72"/>
    </row>
    <row r="90" spans="1:9">
      <c r="A90" s="68" t="s">
        <v>3</v>
      </c>
      <c r="B90" s="69">
        <v>1993</v>
      </c>
      <c r="C90" s="70">
        <v>538560400</v>
      </c>
      <c r="D90" s="70">
        <v>202989051</v>
      </c>
      <c r="E90" s="70">
        <v>934145868</v>
      </c>
      <c r="F90" s="70">
        <v>101590201</v>
      </c>
      <c r="G90" s="71">
        <f t="shared" si="4"/>
        <v>1777285520</v>
      </c>
      <c r="H90" s="60">
        <v>0</v>
      </c>
      <c r="I90" s="72"/>
    </row>
    <row r="91" spans="1:9">
      <c r="A91" s="68" t="s">
        <v>3</v>
      </c>
      <c r="B91" s="69">
        <v>1994</v>
      </c>
      <c r="C91" s="70">
        <v>684050813</v>
      </c>
      <c r="D91" s="70">
        <v>270384983</v>
      </c>
      <c r="E91" s="70">
        <v>938798293</v>
      </c>
      <c r="F91" s="70">
        <v>97199515</v>
      </c>
      <c r="G91" s="71">
        <f t="shared" si="4"/>
        <v>1990433604</v>
      </c>
      <c r="H91" s="60">
        <v>0</v>
      </c>
      <c r="I91" s="72"/>
    </row>
    <row r="92" spans="1:9">
      <c r="A92" s="68" t="s">
        <v>3</v>
      </c>
      <c r="B92" s="69">
        <v>1995</v>
      </c>
      <c r="C92" s="70">
        <v>707862793</v>
      </c>
      <c r="D92" s="70">
        <v>264823669</v>
      </c>
      <c r="E92" s="70">
        <v>997473403</v>
      </c>
      <c r="F92" s="70">
        <v>100491974</v>
      </c>
      <c r="G92" s="71">
        <f t="shared" si="4"/>
        <v>2070651839</v>
      </c>
      <c r="H92" s="60">
        <v>0</v>
      </c>
      <c r="I92" s="72"/>
    </row>
    <row r="93" spans="1:9">
      <c r="A93" s="68" t="s">
        <v>3</v>
      </c>
      <c r="B93" s="69">
        <v>1996</v>
      </c>
      <c r="C93" s="70">
        <v>656253210</v>
      </c>
      <c r="D93" s="70">
        <v>260552792</v>
      </c>
      <c r="E93" s="70">
        <v>1015805406</v>
      </c>
      <c r="F93" s="70">
        <v>101852660</v>
      </c>
      <c r="G93" s="71">
        <f t="shared" si="4"/>
        <v>2034464068</v>
      </c>
      <c r="H93" s="60">
        <v>0</v>
      </c>
      <c r="I93" s="72"/>
    </row>
    <row r="94" spans="1:9">
      <c r="A94" s="68" t="s">
        <v>3</v>
      </c>
      <c r="B94" s="69">
        <v>1997</v>
      </c>
      <c r="C94" s="70">
        <v>620263360</v>
      </c>
      <c r="D94" s="70">
        <v>314827473</v>
      </c>
      <c r="E94" s="70">
        <v>986732375</v>
      </c>
      <c r="F94" s="70">
        <v>121341074</v>
      </c>
      <c r="G94" s="71">
        <f t="shared" si="4"/>
        <v>2043164282</v>
      </c>
      <c r="H94" s="60">
        <v>0</v>
      </c>
      <c r="I94" s="72"/>
    </row>
    <row r="95" spans="1:9">
      <c r="A95" s="68" t="s">
        <v>3</v>
      </c>
      <c r="B95" s="69">
        <v>1998</v>
      </c>
      <c r="C95" s="70">
        <v>596902987</v>
      </c>
      <c r="D95" s="70">
        <v>391333115</v>
      </c>
      <c r="E95" s="70">
        <v>991468701</v>
      </c>
      <c r="F95" s="70">
        <v>15368342</v>
      </c>
      <c r="G95" s="71">
        <f t="shared" si="4"/>
        <v>1995073145</v>
      </c>
      <c r="H95" s="60">
        <f>11355444+26109</f>
        <v>11381553</v>
      </c>
      <c r="I95" s="72" t="s">
        <v>402</v>
      </c>
    </row>
    <row r="96" spans="1:9">
      <c r="A96" s="68" t="s">
        <v>3</v>
      </c>
      <c r="B96" s="69">
        <v>1999</v>
      </c>
      <c r="C96" s="70">
        <v>595238824</v>
      </c>
      <c r="D96" s="70">
        <v>564853228</v>
      </c>
      <c r="E96" s="70">
        <v>1080611824</v>
      </c>
      <c r="F96" s="70">
        <v>5046298</v>
      </c>
      <c r="G96" s="71">
        <f t="shared" si="4"/>
        <v>2245750174</v>
      </c>
      <c r="H96" s="60">
        <f>9880447+259237</f>
        <v>10139684</v>
      </c>
      <c r="I96" s="72" t="s">
        <v>402</v>
      </c>
    </row>
    <row r="97" spans="1:9">
      <c r="A97" s="68" t="s">
        <v>3</v>
      </c>
      <c r="B97" s="69">
        <v>2000</v>
      </c>
      <c r="C97" s="70">
        <v>605102651</v>
      </c>
      <c r="D97" s="70">
        <v>450103841</v>
      </c>
      <c r="E97" s="70">
        <v>1155058552</v>
      </c>
      <c r="F97" s="70">
        <v>13020484</v>
      </c>
      <c r="G97" s="71">
        <f t="shared" si="4"/>
        <v>2223285528</v>
      </c>
      <c r="H97" s="60">
        <f>11137514+212068</f>
        <v>11349582</v>
      </c>
      <c r="I97" s="72" t="s">
        <v>402</v>
      </c>
    </row>
    <row r="98" spans="1:9">
      <c r="A98" s="68" t="s">
        <v>3</v>
      </c>
      <c r="B98" s="69">
        <v>2001</v>
      </c>
      <c r="C98" s="70">
        <v>659858807</v>
      </c>
      <c r="D98" s="70">
        <v>649078022.77999902</v>
      </c>
      <c r="E98" s="70">
        <v>1304080389</v>
      </c>
      <c r="F98" s="70">
        <v>16444055</v>
      </c>
      <c r="G98" s="71">
        <f t="shared" si="4"/>
        <v>2629461273.7799988</v>
      </c>
      <c r="H98" s="60">
        <f>9206314+136928</f>
        <v>9343242</v>
      </c>
      <c r="I98" s="72" t="s">
        <v>402</v>
      </c>
    </row>
    <row r="99" spans="1:9">
      <c r="A99" s="68" t="s">
        <v>3</v>
      </c>
      <c r="B99" s="69">
        <v>2002</v>
      </c>
      <c r="C99" s="70">
        <v>702625994</v>
      </c>
      <c r="D99" s="70">
        <v>946958659</v>
      </c>
      <c r="E99" s="70">
        <v>1393730603</v>
      </c>
      <c r="F99" s="70">
        <v>21180324</v>
      </c>
      <c r="G99" s="71">
        <f t="shared" si="4"/>
        <v>3064495580</v>
      </c>
      <c r="H99" s="60">
        <f>6304586</f>
        <v>6304586</v>
      </c>
      <c r="I99" s="72" t="s">
        <v>402</v>
      </c>
    </row>
    <row r="100" spans="1:9">
      <c r="A100" s="68" t="s">
        <v>3</v>
      </c>
      <c r="B100" s="69">
        <v>2003</v>
      </c>
      <c r="C100" s="73">
        <v>720689870</v>
      </c>
      <c r="D100" s="73">
        <v>890625150</v>
      </c>
      <c r="E100" s="73">
        <v>1453398803</v>
      </c>
      <c r="F100" s="73">
        <v>19635793</v>
      </c>
      <c r="G100" s="71">
        <f t="shared" si="4"/>
        <v>3084349616</v>
      </c>
      <c r="H100" s="60">
        <f>9111049+400</f>
        <v>9111449</v>
      </c>
      <c r="I100" s="72" t="s">
        <v>402</v>
      </c>
    </row>
    <row r="101" spans="1:9">
      <c r="A101" s="68" t="s">
        <v>3</v>
      </c>
      <c r="B101" s="69">
        <v>2004</v>
      </c>
      <c r="C101" s="73">
        <v>749357414</v>
      </c>
      <c r="D101" s="73">
        <v>727020106</v>
      </c>
      <c r="E101" s="73">
        <v>1520277078</v>
      </c>
      <c r="F101" s="73">
        <v>16411295</v>
      </c>
      <c r="G101" s="71">
        <f t="shared" si="4"/>
        <v>3013065893</v>
      </c>
      <c r="H101" s="60">
        <v>25192022</v>
      </c>
      <c r="I101" s="72" t="s">
        <v>402</v>
      </c>
    </row>
    <row r="102" spans="1:9">
      <c r="A102" s="68" t="s">
        <v>3</v>
      </c>
      <c r="B102" s="69">
        <v>2005</v>
      </c>
      <c r="C102" s="73">
        <v>744613906</v>
      </c>
      <c r="D102" s="73">
        <v>806403405</v>
      </c>
      <c r="E102" s="73">
        <v>1609434976.99</v>
      </c>
      <c r="F102" s="73">
        <v>22475838</v>
      </c>
      <c r="G102" s="71">
        <f t="shared" si="4"/>
        <v>3182928125.9899998</v>
      </c>
      <c r="H102" s="60">
        <v>17230094</v>
      </c>
      <c r="I102" s="72" t="s">
        <v>402</v>
      </c>
    </row>
    <row r="103" spans="1:9">
      <c r="A103" s="68" t="s">
        <v>3</v>
      </c>
      <c r="B103" s="69">
        <v>2006</v>
      </c>
      <c r="C103" s="74">
        <v>780217180</v>
      </c>
      <c r="D103" s="74">
        <v>865121851</v>
      </c>
      <c r="E103" s="74">
        <v>1799991112</v>
      </c>
      <c r="F103" s="74">
        <v>16724420</v>
      </c>
      <c r="G103" s="71">
        <f t="shared" si="4"/>
        <v>3462054563</v>
      </c>
      <c r="H103" s="60">
        <v>12280436</v>
      </c>
      <c r="I103" s="72" t="s">
        <v>402</v>
      </c>
    </row>
    <row r="104" spans="1:9">
      <c r="A104" s="68" t="s">
        <v>3</v>
      </c>
      <c r="B104" s="69">
        <v>2007</v>
      </c>
      <c r="C104" s="74">
        <v>815302125</v>
      </c>
      <c r="D104" s="74">
        <v>943373344</v>
      </c>
      <c r="E104" s="74">
        <v>2039235950</v>
      </c>
      <c r="F104" s="74">
        <v>25474886</v>
      </c>
      <c r="G104" s="71">
        <f t="shared" ref="G104:G109" si="5">SUM(C104:F104)</f>
        <v>3823386305</v>
      </c>
      <c r="H104" s="60">
        <v>10357768</v>
      </c>
      <c r="I104" s="72" t="s">
        <v>402</v>
      </c>
    </row>
    <row r="105" spans="1:9">
      <c r="A105" s="68" t="s">
        <v>3</v>
      </c>
      <c r="B105" s="69">
        <v>2008</v>
      </c>
      <c r="C105" s="74">
        <v>825230520</v>
      </c>
      <c r="D105" s="74">
        <v>1202242267</v>
      </c>
      <c r="E105" s="74">
        <v>2147823072</v>
      </c>
      <c r="F105" s="74">
        <v>16744074</v>
      </c>
      <c r="G105" s="71">
        <f t="shared" si="5"/>
        <v>4192039933</v>
      </c>
      <c r="H105" s="60">
        <v>21787122</v>
      </c>
      <c r="I105" s="72" t="s">
        <v>402</v>
      </c>
    </row>
    <row r="106" spans="1:9">
      <c r="A106" s="68" t="s">
        <v>3</v>
      </c>
      <c r="B106" s="69">
        <v>2009</v>
      </c>
      <c r="C106" s="74">
        <v>885310566</v>
      </c>
      <c r="D106" s="74">
        <v>1153293201</v>
      </c>
      <c r="E106" s="74">
        <v>2232342344</v>
      </c>
      <c r="F106" s="74">
        <v>29223951</v>
      </c>
      <c r="G106" s="71">
        <f t="shared" si="5"/>
        <v>4300170062</v>
      </c>
      <c r="H106" s="60">
        <v>21550471</v>
      </c>
      <c r="I106" s="72" t="s">
        <v>402</v>
      </c>
    </row>
    <row r="107" spans="1:9">
      <c r="A107" s="68" t="s">
        <v>3</v>
      </c>
      <c r="B107" s="69">
        <v>2010</v>
      </c>
      <c r="C107" s="74">
        <v>897304304</v>
      </c>
      <c r="D107" s="75">
        <v>924235255</v>
      </c>
      <c r="E107" s="74">
        <v>2314383786</v>
      </c>
      <c r="F107" s="74">
        <v>16989914</v>
      </c>
      <c r="G107" s="71">
        <f t="shared" si="5"/>
        <v>4152913259</v>
      </c>
      <c r="H107" s="60">
        <v>37873210</v>
      </c>
      <c r="I107" s="72" t="s">
        <v>402</v>
      </c>
    </row>
    <row r="108" spans="1:9">
      <c r="A108" s="68" t="s">
        <v>3</v>
      </c>
      <c r="B108" s="69">
        <v>2011</v>
      </c>
      <c r="C108" s="74">
        <v>912378715</v>
      </c>
      <c r="D108" s="75">
        <v>1028003188</v>
      </c>
      <c r="E108" s="74">
        <v>2365102357.6900001</v>
      </c>
      <c r="F108" s="74">
        <v>25301859</v>
      </c>
      <c r="G108" s="71">
        <f t="shared" si="5"/>
        <v>4330786119.6900005</v>
      </c>
      <c r="H108" s="60">
        <v>49107552</v>
      </c>
      <c r="I108" s="72" t="s">
        <v>402</v>
      </c>
    </row>
    <row r="109" spans="1:9">
      <c r="A109" s="68" t="s">
        <v>3</v>
      </c>
      <c r="B109" s="69">
        <v>2012</v>
      </c>
      <c r="C109" s="74">
        <v>1009296267</v>
      </c>
      <c r="D109" s="75">
        <v>1084481312</v>
      </c>
      <c r="E109" s="74">
        <v>2393160347</v>
      </c>
      <c r="F109" s="74">
        <v>23387728</v>
      </c>
      <c r="G109" s="71">
        <f t="shared" si="5"/>
        <v>4510325654</v>
      </c>
      <c r="H109" s="60">
        <v>35215131</v>
      </c>
      <c r="I109" s="72" t="s">
        <v>402</v>
      </c>
    </row>
    <row r="110" spans="1:9">
      <c r="A110" s="68"/>
      <c r="C110" s="70"/>
      <c r="D110" s="70"/>
      <c r="E110" s="70"/>
      <c r="F110" s="70"/>
      <c r="G110" s="76"/>
      <c r="I110" s="72"/>
    </row>
    <row r="111" spans="1:9">
      <c r="A111" s="68" t="s">
        <v>4</v>
      </c>
      <c r="B111" s="69">
        <v>1988</v>
      </c>
      <c r="C111" s="70">
        <v>5869859995</v>
      </c>
      <c r="D111" s="70">
        <v>5645144027</v>
      </c>
      <c r="E111" s="70">
        <v>6136765670</v>
      </c>
      <c r="F111" s="70">
        <v>0</v>
      </c>
      <c r="G111" s="71">
        <f>SUM(C111:F111)</f>
        <v>17651769692</v>
      </c>
      <c r="H111" s="60">
        <v>0</v>
      </c>
      <c r="I111" s="72"/>
    </row>
    <row r="112" spans="1:9">
      <c r="A112" s="68" t="s">
        <v>4</v>
      </c>
      <c r="B112" s="69">
        <v>1989</v>
      </c>
      <c r="C112" s="70">
        <v>5571024545</v>
      </c>
      <c r="D112" s="70">
        <v>6375337792</v>
      </c>
      <c r="E112" s="70">
        <v>6799488909</v>
      </c>
      <c r="F112" s="70">
        <v>0</v>
      </c>
      <c r="G112" s="71">
        <f t="shared" ref="G112:G135" si="6">SUM(C112:F112)</f>
        <v>18745851246</v>
      </c>
      <c r="H112" s="60">
        <v>0</v>
      </c>
      <c r="I112" s="72"/>
    </row>
    <row r="113" spans="1:9">
      <c r="A113" s="68" t="s">
        <v>4</v>
      </c>
      <c r="B113" s="69">
        <v>1990</v>
      </c>
      <c r="C113" s="70">
        <v>6060907103</v>
      </c>
      <c r="D113" s="70">
        <v>7306550304.7200003</v>
      </c>
      <c r="E113" s="70">
        <v>6895250045</v>
      </c>
      <c r="F113" s="70">
        <v>0</v>
      </c>
      <c r="G113" s="71">
        <f t="shared" si="6"/>
        <v>20262707452.720001</v>
      </c>
      <c r="H113" s="60">
        <v>0</v>
      </c>
      <c r="I113" s="72"/>
    </row>
    <row r="114" spans="1:9">
      <c r="A114" s="68" t="s">
        <v>4</v>
      </c>
      <c r="B114" s="69">
        <v>1991</v>
      </c>
      <c r="C114" s="70">
        <v>6457630456</v>
      </c>
      <c r="D114" s="70">
        <v>6896588577</v>
      </c>
      <c r="E114" s="70">
        <v>6959707145</v>
      </c>
      <c r="F114" s="70">
        <v>0</v>
      </c>
      <c r="G114" s="71">
        <f t="shared" si="6"/>
        <v>20313926178</v>
      </c>
      <c r="H114" s="60">
        <v>0</v>
      </c>
      <c r="I114" s="72"/>
    </row>
    <row r="115" spans="1:9">
      <c r="A115" s="68" t="s">
        <v>4</v>
      </c>
      <c r="B115" s="69">
        <v>1992</v>
      </c>
      <c r="C115" s="70">
        <v>6725017888</v>
      </c>
      <c r="D115" s="70">
        <v>6447826507.6800003</v>
      </c>
      <c r="E115" s="70">
        <v>6809883831</v>
      </c>
      <c r="F115" s="70">
        <v>0</v>
      </c>
      <c r="G115" s="71">
        <f t="shared" si="6"/>
        <v>19982728226.68</v>
      </c>
      <c r="H115" s="60">
        <v>0</v>
      </c>
      <c r="I115" s="72"/>
    </row>
    <row r="116" spans="1:9">
      <c r="A116" s="68" t="s">
        <v>4</v>
      </c>
      <c r="B116" s="69">
        <v>1993</v>
      </c>
      <c r="C116" s="70">
        <v>6899295248</v>
      </c>
      <c r="D116" s="70">
        <v>6183736809</v>
      </c>
      <c r="E116" s="70">
        <v>6660249179</v>
      </c>
      <c r="F116" s="70">
        <v>0</v>
      </c>
      <c r="G116" s="71">
        <f t="shared" si="6"/>
        <v>19743281236</v>
      </c>
      <c r="H116" s="60">
        <v>0</v>
      </c>
      <c r="I116" s="72"/>
    </row>
    <row r="117" spans="1:9">
      <c r="A117" s="68" t="s">
        <v>4</v>
      </c>
      <c r="B117" s="69">
        <v>1994</v>
      </c>
      <c r="C117" s="70">
        <v>7376932083</v>
      </c>
      <c r="D117" s="70">
        <v>9485826336</v>
      </c>
      <c r="E117" s="70">
        <v>6316933092</v>
      </c>
      <c r="F117" s="70">
        <v>0</v>
      </c>
      <c r="G117" s="71">
        <f t="shared" si="6"/>
        <v>23179691511</v>
      </c>
      <c r="H117" s="60">
        <v>0</v>
      </c>
      <c r="I117" s="72"/>
    </row>
    <row r="118" spans="1:9">
      <c r="A118" s="68" t="s">
        <v>4</v>
      </c>
      <c r="B118" s="69">
        <v>1995</v>
      </c>
      <c r="C118" s="70">
        <v>7579574085</v>
      </c>
      <c r="D118" s="70">
        <v>8704477714</v>
      </c>
      <c r="E118" s="70">
        <v>6233903746</v>
      </c>
      <c r="F118" s="70">
        <v>0</v>
      </c>
      <c r="G118" s="71">
        <f t="shared" si="6"/>
        <v>22517955545</v>
      </c>
      <c r="H118" s="60">
        <v>0</v>
      </c>
      <c r="I118" s="72"/>
    </row>
    <row r="119" spans="1:9">
      <c r="A119" s="68" t="s">
        <v>4</v>
      </c>
      <c r="B119" s="69">
        <v>1996</v>
      </c>
      <c r="C119" s="70">
        <v>7616946775</v>
      </c>
      <c r="D119" s="70">
        <v>7718980446</v>
      </c>
      <c r="E119" s="70">
        <v>6374956738</v>
      </c>
      <c r="F119" s="70">
        <v>0</v>
      </c>
      <c r="G119" s="71">
        <f t="shared" si="6"/>
        <v>21710883959</v>
      </c>
      <c r="H119" s="60">
        <v>0</v>
      </c>
      <c r="I119" s="72"/>
    </row>
    <row r="120" spans="1:9">
      <c r="A120" s="68" t="s">
        <v>4</v>
      </c>
      <c r="B120" s="69">
        <v>1997</v>
      </c>
      <c r="C120" s="70">
        <v>7800798993</v>
      </c>
      <c r="D120" s="70">
        <v>7481076398</v>
      </c>
      <c r="E120" s="70">
        <v>6528123426</v>
      </c>
      <c r="F120" s="70">
        <v>0</v>
      </c>
      <c r="G120" s="71">
        <f t="shared" si="6"/>
        <v>21809998817</v>
      </c>
      <c r="H120" s="60">
        <v>0</v>
      </c>
      <c r="I120" s="72"/>
    </row>
    <row r="121" spans="1:9">
      <c r="A121" s="68" t="s">
        <v>4</v>
      </c>
      <c r="B121" s="69">
        <v>1998</v>
      </c>
      <c r="C121" s="70">
        <v>7766804281</v>
      </c>
      <c r="D121" s="70">
        <v>7004696085</v>
      </c>
      <c r="E121" s="70">
        <v>6543001806</v>
      </c>
      <c r="F121" s="70">
        <v>0</v>
      </c>
      <c r="G121" s="71">
        <f t="shared" si="6"/>
        <v>21314502172</v>
      </c>
      <c r="H121" s="60">
        <v>0</v>
      </c>
      <c r="I121" s="72"/>
    </row>
    <row r="122" spans="1:9">
      <c r="A122" s="68" t="s">
        <v>4</v>
      </c>
      <c r="B122" s="69">
        <v>1999</v>
      </c>
      <c r="C122" s="70">
        <v>7885292351</v>
      </c>
      <c r="D122" s="70">
        <v>9793355153</v>
      </c>
      <c r="E122" s="70">
        <v>6990754845</v>
      </c>
      <c r="F122" s="70">
        <v>0</v>
      </c>
      <c r="G122" s="71">
        <f t="shared" si="6"/>
        <v>24669402349</v>
      </c>
      <c r="H122" s="60">
        <v>0</v>
      </c>
      <c r="I122" s="72"/>
    </row>
    <row r="123" spans="1:9">
      <c r="A123" s="68" t="s">
        <v>4</v>
      </c>
      <c r="B123" s="69">
        <v>2000</v>
      </c>
      <c r="C123" s="70">
        <v>8863491410</v>
      </c>
      <c r="D123" s="70">
        <v>10223112717</v>
      </c>
      <c r="E123" s="70">
        <v>7479315118</v>
      </c>
      <c r="F123" s="70">
        <v>0</v>
      </c>
      <c r="G123" s="71">
        <f t="shared" si="6"/>
        <v>26565919245</v>
      </c>
      <c r="H123" s="60">
        <v>0</v>
      </c>
      <c r="I123" s="72"/>
    </row>
    <row r="124" spans="1:9">
      <c r="A124" s="68" t="s">
        <v>4</v>
      </c>
      <c r="B124" s="69">
        <v>2001</v>
      </c>
      <c r="C124" s="70">
        <v>8612598599</v>
      </c>
      <c r="D124" s="70">
        <v>14092356822</v>
      </c>
      <c r="E124" s="70">
        <v>8100626986</v>
      </c>
      <c r="F124" s="70">
        <v>0</v>
      </c>
      <c r="G124" s="71">
        <f t="shared" si="6"/>
        <v>30805582407</v>
      </c>
      <c r="H124" s="60">
        <v>0</v>
      </c>
      <c r="I124" s="72"/>
    </row>
    <row r="125" spans="1:9">
      <c r="A125" s="68" t="s">
        <v>4</v>
      </c>
      <c r="B125" s="69">
        <v>2002</v>
      </c>
      <c r="C125" s="70">
        <v>9057974748</v>
      </c>
      <c r="D125" s="70">
        <v>18455328942</v>
      </c>
      <c r="E125" s="70">
        <v>8589681968</v>
      </c>
      <c r="F125" s="70">
        <v>0</v>
      </c>
      <c r="G125" s="71">
        <f t="shared" si="6"/>
        <v>36102985658</v>
      </c>
      <c r="H125" s="60">
        <v>0</v>
      </c>
      <c r="I125" s="72"/>
    </row>
    <row r="126" spans="1:9">
      <c r="A126" s="68" t="s">
        <v>4</v>
      </c>
      <c r="B126" s="69">
        <v>2003</v>
      </c>
      <c r="C126" s="73">
        <v>9556919352</v>
      </c>
      <c r="D126" s="73">
        <v>15880841833</v>
      </c>
      <c r="E126" s="73">
        <v>9223789031</v>
      </c>
      <c r="F126" s="74">
        <v>0</v>
      </c>
      <c r="G126" s="71">
        <f t="shared" si="6"/>
        <v>34661550216</v>
      </c>
      <c r="H126" s="60">
        <v>0</v>
      </c>
      <c r="I126" s="72"/>
    </row>
    <row r="127" spans="1:9">
      <c r="A127" s="68" t="s">
        <v>4</v>
      </c>
      <c r="B127" s="69">
        <v>2004</v>
      </c>
      <c r="C127" s="73">
        <v>10265295621</v>
      </c>
      <c r="D127" s="73">
        <v>14543251286</v>
      </c>
      <c r="E127" s="73">
        <v>10073894659</v>
      </c>
      <c r="F127" s="74">
        <v>0</v>
      </c>
      <c r="G127" s="71">
        <f t="shared" si="6"/>
        <v>34882441566</v>
      </c>
      <c r="H127" s="60">
        <v>0</v>
      </c>
    </row>
    <row r="128" spans="1:9">
      <c r="A128" s="68" t="s">
        <v>4</v>
      </c>
      <c r="B128" s="69">
        <v>2005</v>
      </c>
      <c r="C128" s="73">
        <v>10517958453</v>
      </c>
      <c r="D128" s="73">
        <v>13186564470</v>
      </c>
      <c r="E128" s="73">
        <v>11094211901.290001</v>
      </c>
      <c r="F128" s="74">
        <v>0</v>
      </c>
      <c r="G128" s="71">
        <f t="shared" si="6"/>
        <v>34798734824.290001</v>
      </c>
      <c r="H128" s="60">
        <v>0</v>
      </c>
    </row>
    <row r="129" spans="1:9">
      <c r="A129" s="68" t="s">
        <v>4</v>
      </c>
      <c r="B129" s="69">
        <v>2006</v>
      </c>
      <c r="C129" s="74">
        <v>11359413366</v>
      </c>
      <c r="D129" s="74">
        <v>16932938392</v>
      </c>
      <c r="E129" s="74">
        <v>13146775669</v>
      </c>
      <c r="F129" s="74">
        <v>0</v>
      </c>
      <c r="G129" s="71">
        <f t="shared" si="6"/>
        <v>41439127427</v>
      </c>
      <c r="H129" s="60">
        <v>0</v>
      </c>
    </row>
    <row r="130" spans="1:9">
      <c r="A130" s="68" t="s">
        <v>4</v>
      </c>
      <c r="B130" s="69">
        <v>2007</v>
      </c>
      <c r="C130" s="74">
        <v>11808943698</v>
      </c>
      <c r="D130" s="74">
        <v>14644539021</v>
      </c>
      <c r="E130" s="74">
        <v>14751063188</v>
      </c>
      <c r="F130" s="74">
        <v>0</v>
      </c>
      <c r="G130" s="71">
        <f t="shared" si="6"/>
        <v>41204545907</v>
      </c>
      <c r="H130" s="60">
        <v>0</v>
      </c>
    </row>
    <row r="131" spans="1:9">
      <c r="A131" s="68" t="s">
        <v>4</v>
      </c>
      <c r="B131" s="69">
        <v>2008</v>
      </c>
      <c r="C131" s="74">
        <v>12228474409</v>
      </c>
      <c r="D131" s="74">
        <v>18955401486</v>
      </c>
      <c r="E131" s="74">
        <v>16184598925</v>
      </c>
      <c r="F131" s="74">
        <v>0</v>
      </c>
      <c r="G131" s="71">
        <f t="shared" si="6"/>
        <v>47368474820</v>
      </c>
      <c r="H131" s="60">
        <v>0</v>
      </c>
    </row>
    <row r="132" spans="1:9">
      <c r="A132" s="68" t="s">
        <v>4</v>
      </c>
      <c r="B132" s="69">
        <v>2009</v>
      </c>
      <c r="C132" s="74">
        <v>12567430402</v>
      </c>
      <c r="D132" s="74">
        <v>18152537452</v>
      </c>
      <c r="E132" s="74">
        <v>17576967802</v>
      </c>
      <c r="F132" s="74">
        <v>0</v>
      </c>
      <c r="G132" s="71">
        <f t="shared" si="6"/>
        <v>48296935656</v>
      </c>
      <c r="H132" s="60">
        <v>0</v>
      </c>
    </row>
    <row r="133" spans="1:9">
      <c r="A133" s="68" t="s">
        <v>4</v>
      </c>
      <c r="B133" s="69">
        <v>2010</v>
      </c>
      <c r="C133" s="74">
        <v>13286970914</v>
      </c>
      <c r="D133" s="74">
        <v>14301467557</v>
      </c>
      <c r="E133" s="74">
        <v>17482654368</v>
      </c>
      <c r="F133" s="74">
        <v>0</v>
      </c>
      <c r="G133" s="71">
        <f t="shared" si="6"/>
        <v>45071092839</v>
      </c>
      <c r="H133" s="60">
        <v>0</v>
      </c>
    </row>
    <row r="134" spans="1:9">
      <c r="A134" s="68" t="s">
        <v>4</v>
      </c>
      <c r="B134" s="69">
        <v>2011</v>
      </c>
      <c r="C134" s="74">
        <v>13550580847</v>
      </c>
      <c r="D134" s="74">
        <v>13874371219</v>
      </c>
      <c r="E134" s="74">
        <v>19045939300.830002</v>
      </c>
      <c r="F134" s="74">
        <v>0</v>
      </c>
      <c r="G134" s="71">
        <f t="shared" si="6"/>
        <v>46470891366.830002</v>
      </c>
      <c r="H134" s="60">
        <v>0</v>
      </c>
    </row>
    <row r="135" spans="1:9">
      <c r="A135" s="68" t="s">
        <v>4</v>
      </c>
      <c r="B135" s="69">
        <v>2012</v>
      </c>
      <c r="C135" s="74">
        <v>14090324708</v>
      </c>
      <c r="D135" s="74">
        <v>13454101251</v>
      </c>
      <c r="E135" s="74">
        <v>18147485702</v>
      </c>
      <c r="F135" s="74">
        <v>0</v>
      </c>
      <c r="G135" s="71">
        <f t="shared" si="6"/>
        <v>45691911661</v>
      </c>
      <c r="H135" s="60">
        <v>0</v>
      </c>
    </row>
    <row r="136" spans="1:9">
      <c r="A136" s="68"/>
      <c r="C136" s="70"/>
      <c r="D136" s="70"/>
      <c r="E136" s="70"/>
      <c r="F136" s="70"/>
      <c r="G136" s="76"/>
      <c r="I136" s="72"/>
    </row>
    <row r="137" spans="1:9">
      <c r="A137" s="68" t="s">
        <v>5</v>
      </c>
      <c r="B137" s="69">
        <v>1988</v>
      </c>
      <c r="C137" s="70">
        <v>828881751</v>
      </c>
      <c r="D137" s="70">
        <v>904720795</v>
      </c>
      <c r="E137" s="70">
        <v>722246214</v>
      </c>
      <c r="F137" s="70">
        <v>0</v>
      </c>
      <c r="G137" s="71">
        <f>SUM(C137:F137)</f>
        <v>2455848760</v>
      </c>
      <c r="H137" s="60">
        <v>0</v>
      </c>
      <c r="I137" s="72"/>
    </row>
    <row r="138" spans="1:9">
      <c r="A138" s="68" t="s">
        <v>5</v>
      </c>
      <c r="B138" s="69">
        <v>1989</v>
      </c>
      <c r="C138" s="70">
        <v>755347127</v>
      </c>
      <c r="D138" s="70">
        <v>830367259</v>
      </c>
      <c r="E138" s="70">
        <v>778209288</v>
      </c>
      <c r="F138" s="70">
        <v>0</v>
      </c>
      <c r="G138" s="71">
        <f t="shared" ref="G138:G161" si="7">SUM(C138:F138)</f>
        <v>2363923674</v>
      </c>
      <c r="H138" s="60">
        <v>0</v>
      </c>
      <c r="I138" s="72"/>
    </row>
    <row r="139" spans="1:9">
      <c r="A139" s="68" t="s">
        <v>5</v>
      </c>
      <c r="B139" s="69">
        <v>1990</v>
      </c>
      <c r="C139" s="70">
        <v>780245914</v>
      </c>
      <c r="D139" s="70">
        <v>904046068.44000006</v>
      </c>
      <c r="E139" s="70">
        <v>829193863</v>
      </c>
      <c r="F139" s="70">
        <v>0</v>
      </c>
      <c r="G139" s="71">
        <f t="shared" si="7"/>
        <v>2513485845.4400001</v>
      </c>
      <c r="H139" s="60">
        <v>0</v>
      </c>
      <c r="I139" s="72"/>
    </row>
    <row r="140" spans="1:9">
      <c r="A140" s="68" t="s">
        <v>5</v>
      </c>
      <c r="B140" s="69">
        <v>1991</v>
      </c>
      <c r="C140" s="70">
        <v>853159701</v>
      </c>
      <c r="D140" s="70">
        <v>972231813</v>
      </c>
      <c r="E140" s="70">
        <v>890312886</v>
      </c>
      <c r="F140" s="70">
        <v>0</v>
      </c>
      <c r="G140" s="71">
        <f t="shared" si="7"/>
        <v>2715704400</v>
      </c>
      <c r="H140" s="60">
        <v>0</v>
      </c>
      <c r="I140" s="72"/>
    </row>
    <row r="141" spans="1:9">
      <c r="A141" s="68" t="s">
        <v>5</v>
      </c>
      <c r="B141" s="69">
        <v>1992</v>
      </c>
      <c r="C141" s="70">
        <v>865720501</v>
      </c>
      <c r="D141" s="70">
        <v>838610367.88</v>
      </c>
      <c r="E141" s="70">
        <v>934379767</v>
      </c>
      <c r="F141" s="70">
        <v>0</v>
      </c>
      <c r="G141" s="71">
        <f t="shared" si="7"/>
        <v>2638710635.8800001</v>
      </c>
      <c r="H141" s="60">
        <v>0</v>
      </c>
      <c r="I141" s="72"/>
    </row>
    <row r="142" spans="1:9">
      <c r="A142" s="68" t="s">
        <v>5</v>
      </c>
      <c r="B142" s="69">
        <v>1993</v>
      </c>
      <c r="C142" s="70">
        <v>963784454</v>
      </c>
      <c r="D142" s="70">
        <v>687758554</v>
      </c>
      <c r="E142" s="70">
        <v>1011110506</v>
      </c>
      <c r="F142" s="70">
        <v>0</v>
      </c>
      <c r="G142" s="71">
        <f t="shared" si="7"/>
        <v>2662653514</v>
      </c>
      <c r="H142" s="60">
        <v>0</v>
      </c>
      <c r="I142" s="72"/>
    </row>
    <row r="143" spans="1:9">
      <c r="A143" s="68" t="s">
        <v>5</v>
      </c>
      <c r="B143" s="69">
        <v>1994</v>
      </c>
      <c r="C143" s="70">
        <v>1030999407</v>
      </c>
      <c r="D143" s="70">
        <v>895579411</v>
      </c>
      <c r="E143" s="70">
        <v>1063105936</v>
      </c>
      <c r="F143" s="70">
        <v>0</v>
      </c>
      <c r="G143" s="71">
        <f t="shared" si="7"/>
        <v>2989684754</v>
      </c>
      <c r="H143" s="60">
        <v>0</v>
      </c>
      <c r="I143" s="72"/>
    </row>
    <row r="144" spans="1:9">
      <c r="A144" s="68" t="s">
        <v>5</v>
      </c>
      <c r="B144" s="69">
        <v>1995</v>
      </c>
      <c r="C144" s="70">
        <v>1105172733</v>
      </c>
      <c r="D144" s="70">
        <v>988485271</v>
      </c>
      <c r="E144" s="70">
        <v>1157687855</v>
      </c>
      <c r="F144" s="70">
        <v>0</v>
      </c>
      <c r="G144" s="71">
        <f t="shared" si="7"/>
        <v>3251345859</v>
      </c>
      <c r="H144" s="60">
        <v>0</v>
      </c>
      <c r="I144" s="72"/>
    </row>
    <row r="145" spans="1:9">
      <c r="A145" s="68" t="s">
        <v>5</v>
      </c>
      <c r="B145" s="69">
        <v>1996</v>
      </c>
      <c r="C145" s="70">
        <v>1140336981</v>
      </c>
      <c r="D145" s="70">
        <v>788299041</v>
      </c>
      <c r="E145" s="70">
        <v>1223491697</v>
      </c>
      <c r="F145" s="70">
        <v>0</v>
      </c>
      <c r="G145" s="71">
        <f t="shared" si="7"/>
        <v>3152127719</v>
      </c>
      <c r="H145" s="60">
        <v>0</v>
      </c>
      <c r="I145" s="72"/>
    </row>
    <row r="146" spans="1:9">
      <c r="A146" s="68" t="s">
        <v>5</v>
      </c>
      <c r="B146" s="69">
        <v>1997</v>
      </c>
      <c r="C146" s="70">
        <v>1161040457</v>
      </c>
      <c r="D146" s="70">
        <v>901641637</v>
      </c>
      <c r="E146" s="70">
        <v>1249027863</v>
      </c>
      <c r="F146" s="70">
        <v>0</v>
      </c>
      <c r="G146" s="71">
        <f t="shared" si="7"/>
        <v>3311709957</v>
      </c>
      <c r="H146" s="60">
        <v>0</v>
      </c>
      <c r="I146" s="72"/>
    </row>
    <row r="147" spans="1:9">
      <c r="A147" s="68" t="s">
        <v>5</v>
      </c>
      <c r="B147" s="69">
        <v>1998</v>
      </c>
      <c r="C147" s="70">
        <v>1187254176</v>
      </c>
      <c r="D147" s="70">
        <v>1117339967</v>
      </c>
      <c r="E147" s="70">
        <v>1284019308</v>
      </c>
      <c r="F147" s="70">
        <v>0</v>
      </c>
      <c r="G147" s="71">
        <f t="shared" si="7"/>
        <v>3588613451</v>
      </c>
      <c r="H147" s="60">
        <v>0</v>
      </c>
      <c r="I147" s="72"/>
    </row>
    <row r="148" spans="1:9">
      <c r="A148" s="68" t="s">
        <v>5</v>
      </c>
      <c r="B148" s="69">
        <v>1999</v>
      </c>
      <c r="C148" s="70">
        <v>1195136849</v>
      </c>
      <c r="D148" s="70">
        <v>1457970263</v>
      </c>
      <c r="E148" s="70">
        <v>1538677636</v>
      </c>
      <c r="F148" s="70">
        <v>0</v>
      </c>
      <c r="G148" s="71">
        <f t="shared" si="7"/>
        <v>4191784748</v>
      </c>
      <c r="H148" s="60">
        <v>0</v>
      </c>
      <c r="I148" s="72"/>
    </row>
    <row r="149" spans="1:9">
      <c r="A149" s="68" t="s">
        <v>5</v>
      </c>
      <c r="B149" s="69">
        <v>2000</v>
      </c>
      <c r="C149" s="70">
        <v>1532738790</v>
      </c>
      <c r="D149" s="70">
        <v>1252265769</v>
      </c>
      <c r="E149" s="70">
        <v>1661069947</v>
      </c>
      <c r="F149" s="70">
        <v>0</v>
      </c>
      <c r="G149" s="71">
        <f t="shared" si="7"/>
        <v>4446074506</v>
      </c>
      <c r="H149" s="60">
        <v>0</v>
      </c>
      <c r="I149" s="72"/>
    </row>
    <row r="150" spans="1:9">
      <c r="A150" s="68" t="s">
        <v>5</v>
      </c>
      <c r="B150" s="69">
        <v>2001</v>
      </c>
      <c r="C150" s="70">
        <v>1239300879</v>
      </c>
      <c r="D150" s="70">
        <v>1652794944</v>
      </c>
      <c r="E150" s="70">
        <v>1840536638</v>
      </c>
      <c r="F150" s="70">
        <v>0</v>
      </c>
      <c r="G150" s="71">
        <f t="shared" si="7"/>
        <v>4732632461</v>
      </c>
      <c r="H150" s="60">
        <v>0</v>
      </c>
      <c r="I150" s="72"/>
    </row>
    <row r="151" spans="1:9">
      <c r="A151" s="68" t="s">
        <v>5</v>
      </c>
      <c r="B151" s="69">
        <v>2002</v>
      </c>
      <c r="C151" s="70">
        <v>1304495820</v>
      </c>
      <c r="D151" s="70">
        <v>2245509671</v>
      </c>
      <c r="E151" s="70">
        <v>1853776788</v>
      </c>
      <c r="F151" s="70">
        <v>0</v>
      </c>
      <c r="G151" s="71">
        <f t="shared" si="7"/>
        <v>5403782279</v>
      </c>
      <c r="H151" s="60">
        <v>0</v>
      </c>
      <c r="I151" s="72"/>
    </row>
    <row r="152" spans="1:9">
      <c r="A152" s="68" t="s">
        <v>5</v>
      </c>
      <c r="B152" s="69">
        <v>2003</v>
      </c>
      <c r="C152" s="73">
        <v>1404979031</v>
      </c>
      <c r="D152" s="73">
        <v>2057490553</v>
      </c>
      <c r="E152" s="73">
        <v>2102697784</v>
      </c>
      <c r="F152" s="70">
        <v>0</v>
      </c>
      <c r="G152" s="71">
        <f t="shared" si="7"/>
        <v>5565167368</v>
      </c>
      <c r="H152" s="60">
        <v>0</v>
      </c>
      <c r="I152" s="72"/>
    </row>
    <row r="153" spans="1:9">
      <c r="A153" s="68" t="s">
        <v>5</v>
      </c>
      <c r="B153" s="69">
        <v>2004</v>
      </c>
      <c r="C153" s="73">
        <v>1461151703</v>
      </c>
      <c r="D153" s="73">
        <v>1939972242</v>
      </c>
      <c r="E153" s="73">
        <v>2298669662</v>
      </c>
      <c r="F153" s="70">
        <v>0</v>
      </c>
      <c r="G153" s="71">
        <f t="shared" si="7"/>
        <v>5699793607</v>
      </c>
      <c r="H153" s="60">
        <v>0</v>
      </c>
    </row>
    <row r="154" spans="1:9">
      <c r="A154" s="68" t="s">
        <v>5</v>
      </c>
      <c r="B154" s="69">
        <v>2005</v>
      </c>
      <c r="C154" s="73">
        <v>1489479668</v>
      </c>
      <c r="D154" s="73">
        <v>2026059726</v>
      </c>
      <c r="E154" s="73">
        <v>2432877293.27</v>
      </c>
      <c r="F154" s="70">
        <v>0</v>
      </c>
      <c r="G154" s="71">
        <f t="shared" si="7"/>
        <v>5948416687.2700005</v>
      </c>
      <c r="H154" s="60">
        <v>0</v>
      </c>
    </row>
    <row r="155" spans="1:9">
      <c r="A155" s="68" t="s">
        <v>5</v>
      </c>
      <c r="B155" s="69">
        <v>2006</v>
      </c>
      <c r="C155" s="74">
        <v>1587281819</v>
      </c>
      <c r="D155" s="74">
        <v>2158883056</v>
      </c>
      <c r="E155" s="74">
        <v>2683256306</v>
      </c>
      <c r="F155" s="70">
        <v>0</v>
      </c>
      <c r="G155" s="71">
        <f t="shared" si="7"/>
        <v>6429421181</v>
      </c>
      <c r="H155" s="60">
        <v>0</v>
      </c>
    </row>
    <row r="156" spans="1:9">
      <c r="A156" s="68" t="s">
        <v>5</v>
      </c>
      <c r="B156" s="69">
        <v>2007</v>
      </c>
      <c r="C156" s="74">
        <v>1640732290</v>
      </c>
      <c r="D156" s="74">
        <v>1977782927</v>
      </c>
      <c r="E156" s="74">
        <v>3559739931</v>
      </c>
      <c r="F156" s="70">
        <v>0</v>
      </c>
      <c r="G156" s="71">
        <f t="shared" si="7"/>
        <v>7178255148</v>
      </c>
      <c r="H156" s="60">
        <v>0</v>
      </c>
    </row>
    <row r="157" spans="1:9">
      <c r="A157" s="68" t="s">
        <v>5</v>
      </c>
      <c r="B157" s="69">
        <v>2008</v>
      </c>
      <c r="C157" s="74">
        <v>1689623832</v>
      </c>
      <c r="D157" s="74">
        <v>2747988136</v>
      </c>
      <c r="E157" s="74">
        <v>3889919140</v>
      </c>
      <c r="F157" s="70">
        <v>0</v>
      </c>
      <c r="G157" s="71">
        <f t="shared" si="7"/>
        <v>8327531108</v>
      </c>
      <c r="H157" s="60">
        <v>0</v>
      </c>
    </row>
    <row r="158" spans="1:9">
      <c r="A158" s="68" t="s">
        <v>5</v>
      </c>
      <c r="B158" s="69">
        <v>2009</v>
      </c>
      <c r="C158" s="74">
        <v>1832884396</v>
      </c>
      <c r="D158" s="74">
        <v>2931587212</v>
      </c>
      <c r="E158" s="74">
        <v>4356781877</v>
      </c>
      <c r="F158" s="70">
        <v>0</v>
      </c>
      <c r="G158" s="71">
        <f t="shared" si="7"/>
        <v>9121253485</v>
      </c>
      <c r="H158" s="60">
        <v>0</v>
      </c>
    </row>
    <row r="159" spans="1:9">
      <c r="A159" s="68" t="s">
        <v>5</v>
      </c>
      <c r="B159" s="69">
        <v>2010</v>
      </c>
      <c r="C159" s="74">
        <v>1933741077</v>
      </c>
      <c r="D159" s="74">
        <v>2945911265</v>
      </c>
      <c r="E159" s="74">
        <v>4083295457</v>
      </c>
      <c r="F159" s="70">
        <v>0</v>
      </c>
      <c r="G159" s="71">
        <f t="shared" si="7"/>
        <v>8962947799</v>
      </c>
      <c r="H159" s="60">
        <v>0</v>
      </c>
    </row>
    <row r="160" spans="1:9">
      <c r="A160" s="68" t="s">
        <v>5</v>
      </c>
      <c r="B160" s="69">
        <v>2011</v>
      </c>
      <c r="C160" s="74">
        <v>1975897054</v>
      </c>
      <c r="D160" s="74">
        <v>3167131653</v>
      </c>
      <c r="E160" s="74">
        <v>4094188764.1599998</v>
      </c>
      <c r="F160" s="70">
        <v>0</v>
      </c>
      <c r="G160" s="71">
        <f t="shared" si="7"/>
        <v>9237217471.1599998</v>
      </c>
      <c r="H160" s="60">
        <v>0</v>
      </c>
    </row>
    <row r="161" spans="1:9">
      <c r="A161" s="68" t="s">
        <v>5</v>
      </c>
      <c r="B161" s="69">
        <v>2012</v>
      </c>
      <c r="C161" s="74">
        <v>2115900124</v>
      </c>
      <c r="D161" s="74">
        <v>3208701197</v>
      </c>
      <c r="E161" s="74">
        <v>4016525119</v>
      </c>
      <c r="F161" s="70">
        <v>0</v>
      </c>
      <c r="G161" s="71">
        <f t="shared" si="7"/>
        <v>9341126440</v>
      </c>
      <c r="H161" s="60">
        <v>0</v>
      </c>
    </row>
    <row r="162" spans="1:9">
      <c r="A162" s="68"/>
      <c r="C162" s="70"/>
      <c r="D162" s="70"/>
      <c r="E162" s="70"/>
      <c r="F162" s="70"/>
      <c r="G162" s="76"/>
      <c r="I162" s="72"/>
    </row>
    <row r="163" spans="1:9">
      <c r="A163" s="68" t="s">
        <v>6</v>
      </c>
      <c r="B163" s="69">
        <v>1988</v>
      </c>
      <c r="C163" s="70">
        <v>1088101087</v>
      </c>
      <c r="D163" s="70">
        <v>814138809</v>
      </c>
      <c r="E163" s="70">
        <v>2007923266</v>
      </c>
      <c r="F163" s="70">
        <v>1056248596</v>
      </c>
      <c r="G163" s="71">
        <f>SUM(C163:F163)</f>
        <v>4966411758</v>
      </c>
      <c r="H163" s="60">
        <v>0</v>
      </c>
      <c r="I163" s="72"/>
    </row>
    <row r="164" spans="1:9">
      <c r="A164" s="68" t="s">
        <v>6</v>
      </c>
      <c r="B164" s="69">
        <v>1989</v>
      </c>
      <c r="C164" s="70">
        <v>1150185716</v>
      </c>
      <c r="D164" s="70">
        <v>924054498</v>
      </c>
      <c r="E164" s="70">
        <v>2357785708</v>
      </c>
      <c r="F164" s="70">
        <v>917855756</v>
      </c>
      <c r="G164" s="71">
        <f t="shared" ref="G164:G181" si="8">SUM(C164:F164)</f>
        <v>5349881678</v>
      </c>
      <c r="H164" s="60">
        <v>0</v>
      </c>
      <c r="I164" s="72"/>
    </row>
    <row r="165" spans="1:9">
      <c r="A165" s="68" t="s">
        <v>6</v>
      </c>
      <c r="B165" s="69">
        <v>1990</v>
      </c>
      <c r="C165" s="70">
        <v>1224476571</v>
      </c>
      <c r="D165" s="70">
        <v>1396613823.24</v>
      </c>
      <c r="E165" s="70">
        <v>2605274310</v>
      </c>
      <c r="F165" s="70">
        <v>904765983</v>
      </c>
      <c r="G165" s="71">
        <f t="shared" si="8"/>
        <v>6131130687.2399998</v>
      </c>
      <c r="H165" s="60">
        <v>0</v>
      </c>
      <c r="I165" s="72"/>
    </row>
    <row r="166" spans="1:9">
      <c r="A166" s="68" t="s">
        <v>6</v>
      </c>
      <c r="B166" s="69">
        <v>1991</v>
      </c>
      <c r="C166" s="70">
        <v>1259496517</v>
      </c>
      <c r="D166" s="70">
        <v>868623997</v>
      </c>
      <c r="E166" s="70">
        <v>2080101981</v>
      </c>
      <c r="F166" s="70">
        <v>798555349</v>
      </c>
      <c r="G166" s="71">
        <f t="shared" si="8"/>
        <v>5006777844</v>
      </c>
      <c r="H166" s="60">
        <v>0</v>
      </c>
      <c r="I166" s="72"/>
    </row>
    <row r="167" spans="1:9">
      <c r="A167" s="68" t="s">
        <v>6</v>
      </c>
      <c r="B167" s="69">
        <v>1992</v>
      </c>
      <c r="C167" s="70">
        <v>1263353236</v>
      </c>
      <c r="D167" s="70">
        <v>1013246298.2</v>
      </c>
      <c r="E167" s="70">
        <v>1900074462</v>
      </c>
      <c r="F167" s="70">
        <v>620598543</v>
      </c>
      <c r="G167" s="71">
        <f t="shared" si="8"/>
        <v>4797272539.1999998</v>
      </c>
      <c r="H167" s="60">
        <v>0</v>
      </c>
      <c r="I167" s="72"/>
    </row>
    <row r="168" spans="1:9">
      <c r="A168" s="68" t="s">
        <v>6</v>
      </c>
      <c r="B168" s="69">
        <v>1993</v>
      </c>
      <c r="C168" s="70">
        <v>1379972689</v>
      </c>
      <c r="D168" s="70">
        <v>802506092</v>
      </c>
      <c r="E168" s="70">
        <v>1763174845</v>
      </c>
      <c r="F168" s="70">
        <v>537714964</v>
      </c>
      <c r="G168" s="71">
        <f t="shared" si="8"/>
        <v>4483368590</v>
      </c>
      <c r="H168" s="60">
        <v>0</v>
      </c>
      <c r="I168" s="72"/>
    </row>
    <row r="169" spans="1:9">
      <c r="A169" s="68" t="s">
        <v>6</v>
      </c>
      <c r="B169" s="69">
        <v>1994</v>
      </c>
      <c r="C169" s="70">
        <v>1601094600</v>
      </c>
      <c r="D169" s="70">
        <v>1467073952</v>
      </c>
      <c r="E169" s="70">
        <v>1752533368</v>
      </c>
      <c r="F169" s="70">
        <v>1773874230</v>
      </c>
      <c r="G169" s="71">
        <f t="shared" si="8"/>
        <v>6594576150</v>
      </c>
      <c r="H169" s="60">
        <v>0</v>
      </c>
      <c r="I169" s="72"/>
    </row>
    <row r="170" spans="1:9">
      <c r="A170" s="68" t="s">
        <v>6</v>
      </c>
      <c r="B170" s="69">
        <v>1995</v>
      </c>
      <c r="C170" s="70">
        <v>1584649056</v>
      </c>
      <c r="D170" s="70">
        <v>1600898074</v>
      </c>
      <c r="E170" s="70">
        <v>2067627222</v>
      </c>
      <c r="F170" s="70">
        <v>671136066</v>
      </c>
      <c r="G170" s="71">
        <f t="shared" si="8"/>
        <v>5924310418</v>
      </c>
      <c r="H170" s="60">
        <v>0</v>
      </c>
      <c r="I170" s="72"/>
    </row>
    <row r="171" spans="1:9">
      <c r="A171" s="68" t="s">
        <v>6</v>
      </c>
      <c r="B171" s="69">
        <v>1996</v>
      </c>
      <c r="C171" s="70">
        <v>1638095187</v>
      </c>
      <c r="D171" s="70">
        <v>1215287036</v>
      </c>
      <c r="E171" s="70">
        <v>1635755629</v>
      </c>
      <c r="F171" s="70">
        <v>520507398</v>
      </c>
      <c r="G171" s="71">
        <f t="shared" si="8"/>
        <v>5009645250</v>
      </c>
      <c r="H171" s="60">
        <v>0</v>
      </c>
      <c r="I171" s="72"/>
    </row>
    <row r="172" spans="1:9">
      <c r="A172" s="68" t="s">
        <v>6</v>
      </c>
      <c r="B172" s="69">
        <v>1997</v>
      </c>
      <c r="C172" s="70">
        <v>1550476848</v>
      </c>
      <c r="D172" s="70">
        <v>1517374403</v>
      </c>
      <c r="E172" s="70">
        <v>1343566612</v>
      </c>
      <c r="F172" s="70">
        <v>473221338</v>
      </c>
      <c r="G172" s="71">
        <f t="shared" si="8"/>
        <v>4884639201</v>
      </c>
      <c r="H172" s="60">
        <v>0</v>
      </c>
      <c r="I172" s="72"/>
    </row>
    <row r="173" spans="1:9">
      <c r="A173" s="68" t="s">
        <v>6</v>
      </c>
      <c r="B173" s="69">
        <v>1998</v>
      </c>
      <c r="C173" s="70">
        <v>1718180622</v>
      </c>
      <c r="D173" s="70">
        <v>1306572294</v>
      </c>
      <c r="E173" s="70">
        <v>1663892131</v>
      </c>
      <c r="F173" s="70">
        <v>-24492761</v>
      </c>
      <c r="G173" s="71">
        <f t="shared" si="8"/>
        <v>4664152286</v>
      </c>
      <c r="H173" s="60">
        <v>0</v>
      </c>
      <c r="I173" s="72"/>
    </row>
    <row r="174" spans="1:9">
      <c r="A174" s="68" t="s">
        <v>6</v>
      </c>
      <c r="B174" s="69">
        <v>1999</v>
      </c>
      <c r="C174" s="70">
        <v>1598661952</v>
      </c>
      <c r="D174" s="70">
        <v>1852264435</v>
      </c>
      <c r="E174" s="70">
        <v>1816115978</v>
      </c>
      <c r="F174" s="70">
        <v>691544953</v>
      </c>
      <c r="G174" s="71">
        <f t="shared" si="8"/>
        <v>5958587318</v>
      </c>
      <c r="H174" s="60">
        <v>0</v>
      </c>
      <c r="I174" s="72"/>
    </row>
    <row r="175" spans="1:9">
      <c r="A175" s="68" t="s">
        <v>6</v>
      </c>
      <c r="B175" s="69">
        <v>2000</v>
      </c>
      <c r="C175" s="70">
        <v>1694456096</v>
      </c>
      <c r="D175" s="70">
        <v>2293919836</v>
      </c>
      <c r="E175" s="70">
        <v>1960756971</v>
      </c>
      <c r="F175" s="70">
        <v>568895089</v>
      </c>
      <c r="G175" s="71">
        <f t="shared" si="8"/>
        <v>6518027992</v>
      </c>
      <c r="H175" s="60">
        <v>0</v>
      </c>
      <c r="I175" s="72"/>
    </row>
    <row r="176" spans="1:9">
      <c r="A176" s="68" t="s">
        <v>6</v>
      </c>
      <c r="B176" s="69">
        <v>2001</v>
      </c>
      <c r="C176" s="70">
        <v>1648001680</v>
      </c>
      <c r="D176" s="70">
        <v>3469628636</v>
      </c>
      <c r="E176" s="70">
        <v>2062471090</v>
      </c>
      <c r="F176" s="70">
        <v>473081692</v>
      </c>
      <c r="G176" s="71">
        <f t="shared" si="8"/>
        <v>7653183098</v>
      </c>
      <c r="H176" s="60">
        <v>24602649</v>
      </c>
      <c r="I176" s="72" t="s">
        <v>402</v>
      </c>
    </row>
    <row r="177" spans="1:9">
      <c r="A177" s="68" t="s">
        <v>6</v>
      </c>
      <c r="B177" s="69">
        <v>2002</v>
      </c>
      <c r="C177" s="70">
        <v>1659039792</v>
      </c>
      <c r="D177" s="70">
        <v>4956566466</v>
      </c>
      <c r="E177" s="70">
        <v>2245740057</v>
      </c>
      <c r="F177" s="70">
        <v>166919546</v>
      </c>
      <c r="G177" s="71">
        <f t="shared" si="8"/>
        <v>9028265861</v>
      </c>
      <c r="H177" s="60">
        <f>17121432+278904</f>
        <v>17400336</v>
      </c>
      <c r="I177" s="72" t="s">
        <v>402</v>
      </c>
    </row>
    <row r="178" spans="1:9">
      <c r="A178" s="68" t="s">
        <v>6</v>
      </c>
      <c r="B178" s="69">
        <v>2003</v>
      </c>
      <c r="C178" s="73">
        <v>1714184436</v>
      </c>
      <c r="D178" s="73">
        <v>5352613731</v>
      </c>
      <c r="E178" s="73">
        <v>2408845740</v>
      </c>
      <c r="F178" s="73">
        <v>280445747</v>
      </c>
      <c r="G178" s="71">
        <f t="shared" si="8"/>
        <v>9756089654</v>
      </c>
      <c r="H178" s="60">
        <f>81858600+278904</f>
        <v>82137504</v>
      </c>
      <c r="I178" s="72" t="s">
        <v>402</v>
      </c>
    </row>
    <row r="179" spans="1:9">
      <c r="A179" s="68" t="s">
        <v>6</v>
      </c>
      <c r="B179" s="69">
        <v>2004</v>
      </c>
      <c r="C179" s="73">
        <v>1816689372</v>
      </c>
      <c r="D179" s="73">
        <v>5334295148</v>
      </c>
      <c r="E179" s="73">
        <v>2812657380</v>
      </c>
      <c r="F179" s="73">
        <v>352670408</v>
      </c>
      <c r="G179" s="71">
        <f t="shared" si="8"/>
        <v>10316312308</v>
      </c>
      <c r="H179" s="60">
        <v>727248019</v>
      </c>
      <c r="I179" s="72" t="s">
        <v>402</v>
      </c>
    </row>
    <row r="180" spans="1:9">
      <c r="A180" s="68" t="s">
        <v>6</v>
      </c>
      <c r="B180" s="69">
        <v>2005</v>
      </c>
      <c r="C180" s="73">
        <v>1943840851</v>
      </c>
      <c r="D180" s="73">
        <v>5044679490</v>
      </c>
      <c r="E180" s="73">
        <v>4498625923</v>
      </c>
      <c r="F180" s="73">
        <v>3447456795</v>
      </c>
      <c r="G180" s="71">
        <f t="shared" si="8"/>
        <v>14934603059</v>
      </c>
      <c r="H180" s="60">
        <f>46680541+22338813</f>
        <v>69019354</v>
      </c>
      <c r="I180" s="72" t="s">
        <v>402</v>
      </c>
    </row>
    <row r="181" spans="1:9">
      <c r="A181" s="68" t="s">
        <v>6</v>
      </c>
      <c r="B181" s="69">
        <v>2006</v>
      </c>
      <c r="C181" s="74">
        <v>1977069693</v>
      </c>
      <c r="D181" s="74">
        <v>4795359905</v>
      </c>
      <c r="E181" s="74">
        <v>4833278044</v>
      </c>
      <c r="F181" s="74">
        <v>318648337</v>
      </c>
      <c r="G181" s="71">
        <f t="shared" si="8"/>
        <v>11924355979</v>
      </c>
      <c r="H181" s="60">
        <v>151223088</v>
      </c>
      <c r="I181" s="72" t="s">
        <v>402</v>
      </c>
    </row>
    <row r="182" spans="1:9">
      <c r="A182" s="68" t="s">
        <v>6</v>
      </c>
      <c r="B182" s="69">
        <v>2007</v>
      </c>
      <c r="C182" s="74">
        <v>2091275430</v>
      </c>
      <c r="D182" s="74">
        <v>5166646752</v>
      </c>
      <c r="E182" s="74">
        <v>5271538201</v>
      </c>
      <c r="F182" s="74">
        <v>714599286</v>
      </c>
      <c r="G182" s="71">
        <f t="shared" ref="G182:G187" si="9">SUM(C182:F182)</f>
        <v>13244059669</v>
      </c>
      <c r="H182" s="60">
        <v>107224180</v>
      </c>
      <c r="I182" s="72" t="s">
        <v>402</v>
      </c>
    </row>
    <row r="183" spans="1:9">
      <c r="A183" s="68" t="s">
        <v>6</v>
      </c>
      <c r="B183" s="69">
        <v>2008</v>
      </c>
      <c r="C183" s="74">
        <v>2055376551</v>
      </c>
      <c r="D183" s="74">
        <v>6380098907</v>
      </c>
      <c r="E183" s="74">
        <v>4962655584</v>
      </c>
      <c r="F183" s="74">
        <v>389986992</v>
      </c>
      <c r="G183" s="71">
        <f t="shared" si="9"/>
        <v>13788118034</v>
      </c>
      <c r="H183" s="60">
        <v>127841650</v>
      </c>
      <c r="I183" s="72" t="s">
        <v>402</v>
      </c>
    </row>
    <row r="184" spans="1:9">
      <c r="A184" s="68" t="s">
        <v>6</v>
      </c>
      <c r="B184" s="69">
        <v>2009</v>
      </c>
      <c r="C184" s="74">
        <v>2196997367</v>
      </c>
      <c r="D184" s="74">
        <v>6506224856</v>
      </c>
      <c r="E184" s="74">
        <v>5122671333</v>
      </c>
      <c r="F184" s="74">
        <v>1055986375</v>
      </c>
      <c r="G184" s="71">
        <f t="shared" si="9"/>
        <v>14881879931</v>
      </c>
      <c r="H184" s="60">
        <v>56924327</v>
      </c>
      <c r="I184" s="72" t="s">
        <v>402</v>
      </c>
    </row>
    <row r="185" spans="1:9">
      <c r="A185" s="68" t="s">
        <v>6</v>
      </c>
      <c r="B185" s="69">
        <v>2010</v>
      </c>
      <c r="C185" s="74">
        <v>2232436597</v>
      </c>
      <c r="D185" s="75">
        <v>3713263362</v>
      </c>
      <c r="E185" s="74">
        <v>4833585658</v>
      </c>
      <c r="F185" s="74">
        <v>984136721</v>
      </c>
      <c r="G185" s="71">
        <f t="shared" si="9"/>
        <v>11763422338</v>
      </c>
      <c r="H185" s="60">
        <f>126590023</f>
        <v>126590023</v>
      </c>
      <c r="I185" s="72" t="s">
        <v>402</v>
      </c>
    </row>
    <row r="186" spans="1:9">
      <c r="A186" s="68" t="s">
        <v>6</v>
      </c>
      <c r="B186" s="69">
        <v>2011</v>
      </c>
      <c r="C186" s="74">
        <v>2238766302</v>
      </c>
      <c r="D186" s="75">
        <v>3909895934</v>
      </c>
      <c r="E186" s="74">
        <v>4647019231</v>
      </c>
      <c r="F186" s="74">
        <v>422628547</v>
      </c>
      <c r="G186" s="71">
        <f t="shared" si="9"/>
        <v>11218310014</v>
      </c>
      <c r="H186" s="60">
        <v>51884837</v>
      </c>
      <c r="I186" s="72" t="s">
        <v>402</v>
      </c>
    </row>
    <row r="187" spans="1:9">
      <c r="A187" s="68" t="s">
        <v>6</v>
      </c>
      <c r="B187" s="69">
        <v>2012</v>
      </c>
      <c r="C187" s="74">
        <v>2359217702</v>
      </c>
      <c r="D187" s="75">
        <v>4325414390</v>
      </c>
      <c r="E187" s="74">
        <v>4792751932</v>
      </c>
      <c r="F187" s="74">
        <v>369442094</v>
      </c>
      <c r="G187" s="71">
        <f t="shared" si="9"/>
        <v>11846826118</v>
      </c>
      <c r="H187" s="60">
        <v>56132570</v>
      </c>
      <c r="I187" s="72" t="s">
        <v>402</v>
      </c>
    </row>
    <row r="188" spans="1:9">
      <c r="A188" s="68"/>
      <c r="C188" s="70"/>
      <c r="D188" s="70"/>
      <c r="E188" s="70"/>
      <c r="F188" s="70"/>
      <c r="G188" s="76"/>
      <c r="I188" s="72"/>
    </row>
    <row r="189" spans="1:9">
      <c r="A189" s="68" t="s">
        <v>7</v>
      </c>
      <c r="B189" s="69">
        <v>1988</v>
      </c>
      <c r="C189" s="70">
        <v>268677160</v>
      </c>
      <c r="D189" s="70">
        <v>200351054</v>
      </c>
      <c r="E189" s="70">
        <v>123852673</v>
      </c>
      <c r="F189" s="70">
        <v>0</v>
      </c>
      <c r="G189" s="71">
        <f>SUM(C189:F189)</f>
        <v>592880887</v>
      </c>
      <c r="H189" s="60">
        <v>0</v>
      </c>
      <c r="I189" s="72"/>
    </row>
    <row r="190" spans="1:9">
      <c r="A190" s="68" t="s">
        <v>7</v>
      </c>
      <c r="B190" s="69">
        <v>1989</v>
      </c>
      <c r="C190" s="70">
        <v>294024103</v>
      </c>
      <c r="D190" s="70">
        <v>277245305</v>
      </c>
      <c r="E190" s="70">
        <v>147063120</v>
      </c>
      <c r="F190" s="70">
        <v>0</v>
      </c>
      <c r="G190" s="71">
        <f t="shared" ref="G190:G207" si="10">SUM(C190:F190)</f>
        <v>718332528</v>
      </c>
      <c r="H190" s="60">
        <v>0</v>
      </c>
      <c r="I190" s="72"/>
    </row>
    <row r="191" spans="1:9">
      <c r="A191" s="68" t="s">
        <v>7</v>
      </c>
      <c r="B191" s="69">
        <v>1990</v>
      </c>
      <c r="C191" s="70">
        <v>279345372</v>
      </c>
      <c r="D191" s="70">
        <v>428678578.80000001</v>
      </c>
      <c r="E191" s="70">
        <v>159149269</v>
      </c>
      <c r="F191" s="70">
        <v>0</v>
      </c>
      <c r="G191" s="71">
        <f t="shared" si="10"/>
        <v>867173219.79999995</v>
      </c>
      <c r="H191" s="60">
        <v>0</v>
      </c>
      <c r="I191" s="72"/>
    </row>
    <row r="192" spans="1:9">
      <c r="A192" s="68" t="s">
        <v>7</v>
      </c>
      <c r="B192" s="69">
        <v>1991</v>
      </c>
      <c r="C192" s="70">
        <v>251924669</v>
      </c>
      <c r="D192" s="70">
        <v>152105063</v>
      </c>
      <c r="E192" s="70">
        <v>167312321</v>
      </c>
      <c r="F192" s="70">
        <v>95930921</v>
      </c>
      <c r="G192" s="71">
        <f t="shared" si="10"/>
        <v>667272974</v>
      </c>
      <c r="H192" s="60">
        <v>0</v>
      </c>
      <c r="I192" s="72"/>
    </row>
    <row r="193" spans="1:9">
      <c r="A193" s="68" t="s">
        <v>7</v>
      </c>
      <c r="B193" s="69">
        <v>1992</v>
      </c>
      <c r="C193" s="70">
        <v>300680060</v>
      </c>
      <c r="D193" s="70">
        <v>166194571.36000001</v>
      </c>
      <c r="E193" s="70">
        <v>179825527</v>
      </c>
      <c r="F193" s="70">
        <v>119591410</v>
      </c>
      <c r="G193" s="71">
        <f t="shared" si="10"/>
        <v>766291568.36000001</v>
      </c>
      <c r="H193" s="60">
        <v>0</v>
      </c>
      <c r="I193" s="72"/>
    </row>
    <row r="194" spans="1:9">
      <c r="A194" s="68" t="s">
        <v>7</v>
      </c>
      <c r="B194" s="69">
        <v>1993</v>
      </c>
      <c r="C194" s="70">
        <v>319455282</v>
      </c>
      <c r="D194" s="70">
        <v>168982760</v>
      </c>
      <c r="E194" s="70">
        <v>198654435</v>
      </c>
      <c r="F194" s="70">
        <v>78806194</v>
      </c>
      <c r="G194" s="71">
        <f t="shared" si="10"/>
        <v>765898671</v>
      </c>
      <c r="H194" s="60">
        <v>0</v>
      </c>
      <c r="I194" s="72"/>
    </row>
    <row r="195" spans="1:9">
      <c r="A195" s="68" t="s">
        <v>7</v>
      </c>
      <c r="B195" s="69">
        <v>1994</v>
      </c>
      <c r="C195" s="70">
        <v>428382476</v>
      </c>
      <c r="D195" s="70">
        <v>523220061</v>
      </c>
      <c r="E195" s="70">
        <v>205453787</v>
      </c>
      <c r="F195" s="70">
        <v>213997835</v>
      </c>
      <c r="G195" s="71">
        <f t="shared" si="10"/>
        <v>1371054159</v>
      </c>
      <c r="H195" s="60">
        <v>0</v>
      </c>
      <c r="I195" s="72"/>
    </row>
    <row r="196" spans="1:9">
      <c r="A196" s="68" t="s">
        <v>7</v>
      </c>
      <c r="B196" s="69">
        <v>1995</v>
      </c>
      <c r="C196" s="70">
        <v>661567700</v>
      </c>
      <c r="D196" s="70">
        <v>708830689</v>
      </c>
      <c r="E196" s="70">
        <v>212484286</v>
      </c>
      <c r="F196" s="70">
        <v>82769667</v>
      </c>
      <c r="G196" s="71">
        <f t="shared" si="10"/>
        <v>1665652342</v>
      </c>
      <c r="H196" s="60">
        <v>0</v>
      </c>
      <c r="I196" s="72"/>
    </row>
    <row r="197" spans="1:9">
      <c r="A197" s="68" t="s">
        <v>7</v>
      </c>
      <c r="B197" s="69">
        <v>1996</v>
      </c>
      <c r="C197" s="70">
        <v>549255118</v>
      </c>
      <c r="D197" s="70">
        <v>655937573</v>
      </c>
      <c r="E197" s="70">
        <v>224620626</v>
      </c>
      <c r="F197" s="70">
        <v>41489322</v>
      </c>
      <c r="G197" s="71">
        <f t="shared" si="10"/>
        <v>1471302639</v>
      </c>
      <c r="H197" s="60">
        <v>0</v>
      </c>
      <c r="I197" s="72"/>
    </row>
    <row r="198" spans="1:9">
      <c r="A198" s="68" t="s">
        <v>7</v>
      </c>
      <c r="B198" s="69">
        <v>1997</v>
      </c>
      <c r="C198" s="70">
        <v>537212842</v>
      </c>
      <c r="D198" s="70">
        <v>630683634</v>
      </c>
      <c r="E198" s="70">
        <v>224519103</v>
      </c>
      <c r="F198" s="70">
        <v>110664993</v>
      </c>
      <c r="G198" s="71">
        <f t="shared" si="10"/>
        <v>1503080572</v>
      </c>
      <c r="H198" s="60">
        <v>0</v>
      </c>
      <c r="I198" s="72"/>
    </row>
    <row r="199" spans="1:9">
      <c r="A199" s="68" t="s">
        <v>7</v>
      </c>
      <c r="B199" s="69">
        <v>1998</v>
      </c>
      <c r="C199" s="70">
        <v>819860827</v>
      </c>
      <c r="D199" s="70">
        <v>925457335</v>
      </c>
      <c r="E199" s="70">
        <v>248690733</v>
      </c>
      <c r="F199" s="70">
        <v>78513421</v>
      </c>
      <c r="G199" s="71">
        <f t="shared" si="10"/>
        <v>2072522316</v>
      </c>
      <c r="H199" s="60">
        <f>10133539+47423</f>
        <v>10180962</v>
      </c>
      <c r="I199" s="72" t="s">
        <v>402</v>
      </c>
    </row>
    <row r="200" spans="1:9">
      <c r="A200" s="68" t="s">
        <v>7</v>
      </c>
      <c r="B200" s="69">
        <v>1999</v>
      </c>
      <c r="C200" s="70">
        <v>754883179</v>
      </c>
      <c r="D200" s="70">
        <v>676625661</v>
      </c>
      <c r="E200" s="70">
        <v>262311238</v>
      </c>
      <c r="F200" s="70">
        <v>41695890</v>
      </c>
      <c r="G200" s="71">
        <f t="shared" si="10"/>
        <v>1735515968</v>
      </c>
      <c r="H200" s="60">
        <f>32399474+318324</f>
        <v>32717798</v>
      </c>
      <c r="I200" s="72" t="s">
        <v>402</v>
      </c>
    </row>
    <row r="201" spans="1:9">
      <c r="A201" s="68" t="s">
        <v>7</v>
      </c>
      <c r="B201" s="69">
        <v>2000</v>
      </c>
      <c r="C201" s="70">
        <v>902167421</v>
      </c>
      <c r="D201" s="70">
        <v>807627348</v>
      </c>
      <c r="E201" s="70">
        <v>279902759</v>
      </c>
      <c r="F201" s="70">
        <v>55021022</v>
      </c>
      <c r="G201" s="71">
        <f t="shared" si="10"/>
        <v>2044718550</v>
      </c>
      <c r="H201" s="60">
        <v>15471277</v>
      </c>
      <c r="I201" s="72" t="s">
        <v>402</v>
      </c>
    </row>
    <row r="202" spans="1:9">
      <c r="A202" s="68" t="s">
        <v>7</v>
      </c>
      <c r="B202" s="69">
        <v>2001</v>
      </c>
      <c r="C202" s="70">
        <v>902534951</v>
      </c>
      <c r="D202" s="70">
        <v>917437538.00999904</v>
      </c>
      <c r="E202" s="70">
        <v>321097608</v>
      </c>
      <c r="F202" s="70">
        <v>503753044</v>
      </c>
      <c r="G202" s="71">
        <f t="shared" si="10"/>
        <v>2644823141.0099993</v>
      </c>
      <c r="H202" s="60">
        <v>877471</v>
      </c>
      <c r="I202" s="72" t="s">
        <v>402</v>
      </c>
    </row>
    <row r="203" spans="1:9">
      <c r="A203" s="68" t="s">
        <v>7</v>
      </c>
      <c r="B203" s="69">
        <v>2002</v>
      </c>
      <c r="C203" s="70">
        <v>692500394</v>
      </c>
      <c r="D203" s="70">
        <v>1409947304</v>
      </c>
      <c r="E203" s="70">
        <v>328355457</v>
      </c>
      <c r="F203" s="70">
        <v>31912055</v>
      </c>
      <c r="G203" s="71">
        <f t="shared" si="10"/>
        <v>2462715210</v>
      </c>
      <c r="H203" s="60">
        <v>1343470</v>
      </c>
      <c r="I203" s="72" t="s">
        <v>402</v>
      </c>
    </row>
    <row r="204" spans="1:9">
      <c r="A204" s="68" t="s">
        <v>7</v>
      </c>
      <c r="B204" s="69">
        <v>2003</v>
      </c>
      <c r="C204" s="73">
        <v>563347541</v>
      </c>
      <c r="D204" s="73">
        <v>1580795606</v>
      </c>
      <c r="E204" s="73">
        <v>425855058</v>
      </c>
      <c r="F204" s="73">
        <v>30424834</v>
      </c>
      <c r="G204" s="71">
        <f t="shared" si="10"/>
        <v>2600423039</v>
      </c>
      <c r="H204" s="60">
        <v>21524800</v>
      </c>
      <c r="I204" s="72" t="s">
        <v>402</v>
      </c>
    </row>
    <row r="205" spans="1:9">
      <c r="A205" s="68" t="s">
        <v>7</v>
      </c>
      <c r="B205" s="69">
        <v>2004</v>
      </c>
      <c r="C205" s="73">
        <v>522708579</v>
      </c>
      <c r="D205" s="73">
        <v>2834016464</v>
      </c>
      <c r="E205" s="73">
        <v>491073341</v>
      </c>
      <c r="F205" s="73">
        <v>41902580</v>
      </c>
      <c r="G205" s="71">
        <f t="shared" si="10"/>
        <v>3889700964</v>
      </c>
      <c r="H205" s="60">
        <v>7141705</v>
      </c>
      <c r="I205" s="72" t="s">
        <v>402</v>
      </c>
    </row>
    <row r="206" spans="1:9">
      <c r="A206" s="68" t="s">
        <v>7</v>
      </c>
      <c r="B206" s="69">
        <v>2005</v>
      </c>
      <c r="C206" s="73">
        <v>660228251</v>
      </c>
      <c r="D206" s="73">
        <v>1421390035</v>
      </c>
      <c r="E206" s="73">
        <v>579179085.19000006</v>
      </c>
      <c r="F206" s="73">
        <v>196304730</v>
      </c>
      <c r="G206" s="71">
        <f t="shared" si="10"/>
        <v>2857102101.1900001</v>
      </c>
      <c r="H206" s="60">
        <f>66763509+470683</f>
        <v>67234192</v>
      </c>
      <c r="I206" s="72" t="s">
        <v>402</v>
      </c>
    </row>
    <row r="207" spans="1:9">
      <c r="A207" s="68" t="s">
        <v>7</v>
      </c>
      <c r="B207" s="69">
        <v>2006</v>
      </c>
      <c r="C207" s="74">
        <v>882213488</v>
      </c>
      <c r="D207" s="74">
        <v>2398665193</v>
      </c>
      <c r="E207" s="74">
        <v>758889321</v>
      </c>
      <c r="F207" s="74">
        <v>88707613</v>
      </c>
      <c r="G207" s="71">
        <f t="shared" si="10"/>
        <v>4128475615</v>
      </c>
      <c r="H207" s="60">
        <v>2211338</v>
      </c>
      <c r="I207" s="72" t="s">
        <v>402</v>
      </c>
    </row>
    <row r="208" spans="1:9">
      <c r="A208" s="68" t="s">
        <v>7</v>
      </c>
      <c r="B208" s="69">
        <v>2007</v>
      </c>
      <c r="C208" s="74">
        <v>852112573</v>
      </c>
      <c r="D208" s="74">
        <v>1808576871</v>
      </c>
      <c r="E208" s="74">
        <v>868659122</v>
      </c>
      <c r="F208" s="74">
        <v>17784824</v>
      </c>
      <c r="G208" s="71">
        <f t="shared" ref="G208:G213" si="11">SUM(C208:F208)</f>
        <v>3547133390</v>
      </c>
      <c r="H208" s="60">
        <v>622293</v>
      </c>
      <c r="I208" s="72" t="s">
        <v>402</v>
      </c>
    </row>
    <row r="209" spans="1:9">
      <c r="A209" s="68" t="s">
        <v>7</v>
      </c>
      <c r="B209" s="69">
        <v>2008</v>
      </c>
      <c r="C209" s="74">
        <v>1025017351</v>
      </c>
      <c r="D209" s="74">
        <v>1910162221</v>
      </c>
      <c r="E209" s="74">
        <v>933158813</v>
      </c>
      <c r="F209" s="74">
        <v>369698279</v>
      </c>
      <c r="G209" s="71">
        <f t="shared" si="11"/>
        <v>4238036664</v>
      </c>
      <c r="H209" s="60">
        <v>879400</v>
      </c>
      <c r="I209" s="72" t="s">
        <v>402</v>
      </c>
    </row>
    <row r="210" spans="1:9">
      <c r="A210" s="68" t="s">
        <v>7</v>
      </c>
      <c r="B210" s="69">
        <v>2009</v>
      </c>
      <c r="C210" s="74">
        <v>822552558</v>
      </c>
      <c r="D210" s="74">
        <v>1412206711</v>
      </c>
      <c r="E210" s="74">
        <v>988941253</v>
      </c>
      <c r="F210" s="74">
        <v>135349822</v>
      </c>
      <c r="G210" s="71">
        <f t="shared" si="11"/>
        <v>3359050344</v>
      </c>
      <c r="H210" s="60">
        <v>519387</v>
      </c>
      <c r="I210" s="72" t="s">
        <v>402</v>
      </c>
    </row>
    <row r="211" spans="1:9">
      <c r="A211" s="68" t="s">
        <v>7</v>
      </c>
      <c r="B211" s="69">
        <v>2010</v>
      </c>
      <c r="C211" s="74">
        <v>1361781004</v>
      </c>
      <c r="D211" s="75">
        <v>2224925460</v>
      </c>
      <c r="E211" s="74">
        <v>1042389719</v>
      </c>
      <c r="F211" s="74">
        <v>380451203</v>
      </c>
      <c r="G211" s="71">
        <f t="shared" si="11"/>
        <v>5009547386</v>
      </c>
      <c r="H211" s="60">
        <f>891005</f>
        <v>891005</v>
      </c>
      <c r="I211" s="72" t="s">
        <v>402</v>
      </c>
    </row>
    <row r="212" spans="1:9">
      <c r="A212" s="68" t="s">
        <v>7</v>
      </c>
      <c r="B212" s="69">
        <v>2011</v>
      </c>
      <c r="C212" s="74">
        <v>1276585349</v>
      </c>
      <c r="D212" s="75">
        <v>2447798958</v>
      </c>
      <c r="E212" s="74">
        <v>960004957.13999999</v>
      </c>
      <c r="F212" s="74">
        <v>21932357</v>
      </c>
      <c r="G212" s="71">
        <f t="shared" si="11"/>
        <v>4706321621.1400003</v>
      </c>
      <c r="H212" s="60">
        <v>768093</v>
      </c>
      <c r="I212" s="72" t="s">
        <v>402</v>
      </c>
    </row>
    <row r="213" spans="1:9">
      <c r="A213" s="68" t="s">
        <v>7</v>
      </c>
      <c r="B213" s="69">
        <v>2012</v>
      </c>
      <c r="C213" s="74">
        <v>1198044498</v>
      </c>
      <c r="D213" s="75">
        <v>2785510402</v>
      </c>
      <c r="E213" s="74">
        <v>657546305</v>
      </c>
      <c r="F213" s="74">
        <v>186946251</v>
      </c>
      <c r="G213" s="71">
        <f t="shared" si="11"/>
        <v>4828047456</v>
      </c>
      <c r="H213" s="60">
        <v>537052</v>
      </c>
      <c r="I213" s="72" t="s">
        <v>402</v>
      </c>
    </row>
    <row r="214" spans="1:9">
      <c r="A214" s="68"/>
      <c r="C214" s="63"/>
      <c r="D214" s="63"/>
      <c r="E214" s="63"/>
      <c r="F214" s="63"/>
      <c r="G214" s="76"/>
      <c r="I214" s="72"/>
    </row>
    <row r="215" spans="1:9">
      <c r="A215" s="78" t="s">
        <v>403</v>
      </c>
      <c r="B215" s="69">
        <v>1988</v>
      </c>
      <c r="C215" s="70">
        <v>0</v>
      </c>
      <c r="D215" s="70">
        <v>0</v>
      </c>
      <c r="E215" s="70">
        <v>0</v>
      </c>
      <c r="F215" s="70">
        <v>0</v>
      </c>
      <c r="G215" s="71">
        <f>SUM(C215:F215)</f>
        <v>0</v>
      </c>
      <c r="H215" s="60">
        <v>0</v>
      </c>
      <c r="I215" s="72"/>
    </row>
    <row r="216" spans="1:9">
      <c r="A216" s="78" t="s">
        <v>403</v>
      </c>
      <c r="B216" s="69">
        <v>1989</v>
      </c>
      <c r="C216" s="70">
        <v>0</v>
      </c>
      <c r="D216" s="70">
        <v>0</v>
      </c>
      <c r="E216" s="70">
        <v>0</v>
      </c>
      <c r="F216" s="70">
        <v>0</v>
      </c>
      <c r="G216" s="71">
        <f t="shared" ref="G216:G239" si="12">SUM(C216:F216)</f>
        <v>0</v>
      </c>
      <c r="H216" s="60">
        <v>0</v>
      </c>
      <c r="I216" s="72"/>
    </row>
    <row r="217" spans="1:9">
      <c r="A217" s="78" t="s">
        <v>403</v>
      </c>
      <c r="B217" s="69">
        <v>1990</v>
      </c>
      <c r="C217" s="70">
        <v>0</v>
      </c>
      <c r="D217" s="70">
        <v>0</v>
      </c>
      <c r="E217" s="70">
        <v>0</v>
      </c>
      <c r="F217" s="70">
        <v>0</v>
      </c>
      <c r="G217" s="71">
        <f t="shared" si="12"/>
        <v>0</v>
      </c>
      <c r="H217" s="60">
        <v>0</v>
      </c>
      <c r="I217" s="72"/>
    </row>
    <row r="218" spans="1:9">
      <c r="A218" s="78" t="s">
        <v>403</v>
      </c>
      <c r="B218" s="69">
        <v>1991</v>
      </c>
      <c r="C218" s="70">
        <v>217338412</v>
      </c>
      <c r="D218" s="70">
        <v>180130467</v>
      </c>
      <c r="E218" s="70">
        <v>510479203</v>
      </c>
      <c r="F218" s="70">
        <v>0</v>
      </c>
      <c r="G218" s="71">
        <f t="shared" si="12"/>
        <v>907948082</v>
      </c>
      <c r="H218" s="60">
        <v>0</v>
      </c>
      <c r="I218" s="72"/>
    </row>
    <row r="219" spans="1:9">
      <c r="A219" s="78" t="s">
        <v>403</v>
      </c>
      <c r="B219" s="69">
        <v>1992</v>
      </c>
      <c r="C219" s="70">
        <v>210556219</v>
      </c>
      <c r="D219" s="70">
        <v>229032963.80000001</v>
      </c>
      <c r="E219" s="70">
        <v>532295059</v>
      </c>
      <c r="F219" s="70">
        <v>0</v>
      </c>
      <c r="G219" s="71">
        <f t="shared" si="12"/>
        <v>971884241.79999995</v>
      </c>
      <c r="H219" s="60">
        <v>0</v>
      </c>
      <c r="I219" s="72"/>
    </row>
    <row r="220" spans="1:9">
      <c r="A220" s="78" t="s">
        <v>403</v>
      </c>
      <c r="B220" s="69">
        <v>1993</v>
      </c>
      <c r="C220" s="70">
        <v>207127514</v>
      </c>
      <c r="D220" s="70">
        <v>164168075</v>
      </c>
      <c r="E220" s="70">
        <v>555080312</v>
      </c>
      <c r="F220" s="70">
        <v>0</v>
      </c>
      <c r="G220" s="71">
        <f t="shared" si="12"/>
        <v>926375901</v>
      </c>
      <c r="H220" s="60">
        <v>0</v>
      </c>
      <c r="I220" s="72"/>
    </row>
    <row r="221" spans="1:9">
      <c r="A221" s="78" t="s">
        <v>403</v>
      </c>
      <c r="B221" s="69">
        <v>1994</v>
      </c>
      <c r="C221" s="70">
        <v>236776873</v>
      </c>
      <c r="D221" s="70">
        <v>174802375</v>
      </c>
      <c r="E221" s="70">
        <v>589711121</v>
      </c>
      <c r="F221" s="70">
        <v>0</v>
      </c>
      <c r="G221" s="71">
        <f t="shared" si="12"/>
        <v>1001290369</v>
      </c>
      <c r="H221" s="60">
        <v>0</v>
      </c>
      <c r="I221" s="72"/>
    </row>
    <row r="222" spans="1:9">
      <c r="A222" s="78" t="s">
        <v>403</v>
      </c>
      <c r="B222" s="69">
        <v>1995</v>
      </c>
      <c r="C222" s="70">
        <v>234349983</v>
      </c>
      <c r="D222" s="70">
        <v>198810580</v>
      </c>
      <c r="E222" s="70">
        <v>627674026</v>
      </c>
      <c r="F222" s="70">
        <v>0</v>
      </c>
      <c r="G222" s="71">
        <f t="shared" si="12"/>
        <v>1060834589</v>
      </c>
      <c r="H222" s="60">
        <v>0</v>
      </c>
      <c r="I222" s="72"/>
    </row>
    <row r="223" spans="1:9">
      <c r="A223" s="78" t="s">
        <v>403</v>
      </c>
      <c r="B223" s="69">
        <v>1996</v>
      </c>
      <c r="C223" s="70">
        <v>416473837</v>
      </c>
      <c r="D223" s="70">
        <v>153864229</v>
      </c>
      <c r="E223" s="70">
        <v>616338520</v>
      </c>
      <c r="F223" s="70">
        <v>0</v>
      </c>
      <c r="G223" s="71">
        <f t="shared" si="12"/>
        <v>1186676586</v>
      </c>
      <c r="H223" s="60">
        <v>0</v>
      </c>
      <c r="I223" s="72"/>
    </row>
    <row r="224" spans="1:9">
      <c r="A224" s="78" t="s">
        <v>403</v>
      </c>
      <c r="B224" s="69">
        <v>1997</v>
      </c>
      <c r="C224" s="70">
        <v>263347768</v>
      </c>
      <c r="D224" s="70">
        <v>380001823</v>
      </c>
      <c r="E224" s="70">
        <v>578124488</v>
      </c>
      <c r="F224" s="70">
        <v>0</v>
      </c>
      <c r="G224" s="71">
        <f t="shared" si="12"/>
        <v>1221474079</v>
      </c>
      <c r="H224" s="60">
        <v>0</v>
      </c>
      <c r="I224" s="72"/>
    </row>
    <row r="225" spans="1:9">
      <c r="A225" s="78" t="s">
        <v>403</v>
      </c>
      <c r="B225" s="69">
        <v>1998</v>
      </c>
      <c r="C225" s="70">
        <v>292761053</v>
      </c>
      <c r="D225" s="70">
        <v>180723360</v>
      </c>
      <c r="E225" s="70">
        <v>691258384</v>
      </c>
      <c r="F225" s="70">
        <v>0</v>
      </c>
      <c r="G225" s="71">
        <f t="shared" si="12"/>
        <v>1164742797</v>
      </c>
      <c r="H225" s="60">
        <v>0</v>
      </c>
      <c r="I225" s="72"/>
    </row>
    <row r="226" spans="1:9">
      <c r="A226" s="78" t="s">
        <v>403</v>
      </c>
      <c r="B226" s="69">
        <v>1999</v>
      </c>
      <c r="C226" s="70">
        <v>249107368</v>
      </c>
      <c r="D226" s="70">
        <v>372749297</v>
      </c>
      <c r="E226" s="70">
        <v>739288811</v>
      </c>
      <c r="F226" s="70">
        <v>0</v>
      </c>
      <c r="G226" s="71">
        <f t="shared" si="12"/>
        <v>1361145476</v>
      </c>
      <c r="H226" s="60">
        <v>0</v>
      </c>
      <c r="I226" s="72"/>
    </row>
    <row r="227" spans="1:9">
      <c r="A227" s="78" t="s">
        <v>403</v>
      </c>
      <c r="B227" s="69">
        <v>2000</v>
      </c>
      <c r="C227" s="70">
        <v>266914407</v>
      </c>
      <c r="D227" s="70">
        <v>190477399</v>
      </c>
      <c r="E227" s="70">
        <v>810659448</v>
      </c>
      <c r="F227" s="70">
        <v>0</v>
      </c>
      <c r="G227" s="71">
        <f t="shared" si="12"/>
        <v>1268051254</v>
      </c>
      <c r="H227" s="60">
        <v>0</v>
      </c>
      <c r="I227" s="72"/>
    </row>
    <row r="228" spans="1:9">
      <c r="A228" s="78" t="s">
        <v>403</v>
      </c>
      <c r="B228" s="69">
        <v>2001</v>
      </c>
      <c r="C228" s="70">
        <v>258847716</v>
      </c>
      <c r="D228" s="70">
        <v>249653429</v>
      </c>
      <c r="E228" s="70">
        <v>750560040</v>
      </c>
      <c r="F228" s="70">
        <v>0</v>
      </c>
      <c r="G228" s="71">
        <f t="shared" si="12"/>
        <v>1259061185</v>
      </c>
      <c r="H228" s="60">
        <v>0</v>
      </c>
      <c r="I228" s="72"/>
    </row>
    <row r="229" spans="1:9">
      <c r="A229" s="78" t="s">
        <v>403</v>
      </c>
      <c r="B229" s="69">
        <v>2002</v>
      </c>
      <c r="C229" s="70">
        <v>276884688</v>
      </c>
      <c r="D229" s="70">
        <v>485283204</v>
      </c>
      <c r="E229" s="70">
        <v>877958136</v>
      </c>
      <c r="F229" s="70">
        <v>0</v>
      </c>
      <c r="G229" s="71">
        <f t="shared" si="12"/>
        <v>1640126028</v>
      </c>
      <c r="H229" s="60">
        <v>0</v>
      </c>
      <c r="I229" s="72"/>
    </row>
    <row r="230" spans="1:9">
      <c r="A230" s="78" t="s">
        <v>403</v>
      </c>
      <c r="B230" s="69">
        <v>2003</v>
      </c>
      <c r="C230" s="73">
        <v>311849706</v>
      </c>
      <c r="D230" s="73">
        <v>490061992</v>
      </c>
      <c r="E230" s="73">
        <v>901468918</v>
      </c>
      <c r="F230" s="70">
        <v>0</v>
      </c>
      <c r="G230" s="71">
        <f t="shared" si="12"/>
        <v>1703380616</v>
      </c>
      <c r="H230" s="60">
        <v>0</v>
      </c>
      <c r="I230" s="72"/>
    </row>
    <row r="231" spans="1:9">
      <c r="A231" s="78" t="s">
        <v>403</v>
      </c>
      <c r="B231" s="69">
        <v>2004</v>
      </c>
      <c r="C231" s="73">
        <v>305373489</v>
      </c>
      <c r="D231" s="73">
        <v>389560861</v>
      </c>
      <c r="E231" s="73">
        <v>930139944</v>
      </c>
      <c r="F231" s="70">
        <v>0</v>
      </c>
      <c r="G231" s="71">
        <f t="shared" si="12"/>
        <v>1625074294</v>
      </c>
      <c r="H231" s="60">
        <v>0</v>
      </c>
    </row>
    <row r="232" spans="1:9">
      <c r="A232" s="78" t="s">
        <v>403</v>
      </c>
      <c r="B232" s="69">
        <v>2005</v>
      </c>
      <c r="C232" s="73">
        <v>357640743</v>
      </c>
      <c r="D232" s="73">
        <v>254186592</v>
      </c>
      <c r="E232" s="73">
        <v>963803577.01999903</v>
      </c>
      <c r="F232" s="70">
        <v>0</v>
      </c>
      <c r="G232" s="71">
        <f t="shared" si="12"/>
        <v>1575630912.019999</v>
      </c>
      <c r="H232" s="60">
        <v>0</v>
      </c>
    </row>
    <row r="233" spans="1:9">
      <c r="A233" s="78" t="s">
        <v>403</v>
      </c>
      <c r="B233" s="69">
        <v>2006</v>
      </c>
      <c r="C233" s="74">
        <v>355321670</v>
      </c>
      <c r="D233" s="74">
        <v>273683351</v>
      </c>
      <c r="E233" s="74">
        <v>963082608</v>
      </c>
      <c r="F233" s="74">
        <v>0</v>
      </c>
      <c r="G233" s="71">
        <f t="shared" si="12"/>
        <v>1592087629</v>
      </c>
      <c r="H233" s="60">
        <v>0</v>
      </c>
    </row>
    <row r="234" spans="1:9">
      <c r="A234" s="78" t="s">
        <v>403</v>
      </c>
      <c r="B234" s="69">
        <v>2007</v>
      </c>
      <c r="C234" s="74">
        <v>376219516</v>
      </c>
      <c r="D234" s="74">
        <v>454474562</v>
      </c>
      <c r="E234" s="74">
        <v>1166633067</v>
      </c>
      <c r="F234" s="74">
        <v>0</v>
      </c>
      <c r="G234" s="71">
        <f t="shared" si="12"/>
        <v>1997327145</v>
      </c>
      <c r="H234" s="60">
        <v>0</v>
      </c>
    </row>
    <row r="235" spans="1:9">
      <c r="A235" s="78" t="s">
        <v>403</v>
      </c>
      <c r="B235" s="69">
        <v>2008</v>
      </c>
      <c r="C235" s="74">
        <v>367138554</v>
      </c>
      <c r="D235" s="74">
        <v>463223374</v>
      </c>
      <c r="E235" s="74">
        <v>1296792711</v>
      </c>
      <c r="F235" s="74">
        <v>0</v>
      </c>
      <c r="G235" s="71">
        <f t="shared" si="12"/>
        <v>2127154639</v>
      </c>
      <c r="H235" s="60">
        <v>0</v>
      </c>
    </row>
    <row r="236" spans="1:9">
      <c r="A236" s="78" t="s">
        <v>403</v>
      </c>
      <c r="B236" s="69">
        <v>2009</v>
      </c>
      <c r="C236" s="74">
        <v>589760311</v>
      </c>
      <c r="D236" s="74">
        <v>402348019</v>
      </c>
      <c r="E236" s="74">
        <v>1340338177</v>
      </c>
      <c r="F236" s="74">
        <v>0</v>
      </c>
      <c r="G236" s="71">
        <f t="shared" si="12"/>
        <v>2332446507</v>
      </c>
      <c r="H236" s="60">
        <v>0</v>
      </c>
    </row>
    <row r="237" spans="1:9">
      <c r="A237" s="78" t="s">
        <v>403</v>
      </c>
      <c r="B237" s="69">
        <v>2010</v>
      </c>
      <c r="C237" s="74">
        <v>582050124</v>
      </c>
      <c r="D237" s="74">
        <v>356639884</v>
      </c>
      <c r="E237" s="74">
        <v>1356062472</v>
      </c>
      <c r="F237" s="74">
        <v>0</v>
      </c>
      <c r="G237" s="71">
        <f t="shared" si="12"/>
        <v>2294752480</v>
      </c>
      <c r="H237" s="60">
        <v>0</v>
      </c>
    </row>
    <row r="238" spans="1:9">
      <c r="A238" s="78" t="s">
        <v>403</v>
      </c>
      <c r="B238" s="69">
        <v>2011</v>
      </c>
      <c r="C238" s="74">
        <v>555448782</v>
      </c>
      <c r="D238" s="74">
        <v>322957063</v>
      </c>
      <c r="E238" s="74">
        <v>1478092695.6599998</v>
      </c>
      <c r="F238" s="74">
        <v>0</v>
      </c>
      <c r="G238" s="71">
        <f t="shared" si="12"/>
        <v>2356498540.6599998</v>
      </c>
      <c r="H238" s="60">
        <v>0</v>
      </c>
    </row>
    <row r="239" spans="1:9">
      <c r="A239" s="78" t="s">
        <v>403</v>
      </c>
      <c r="B239" s="69">
        <v>2012</v>
      </c>
      <c r="C239" s="74">
        <v>569416328</v>
      </c>
      <c r="D239" s="74">
        <v>331727663</v>
      </c>
      <c r="E239" s="74">
        <v>1417656271</v>
      </c>
      <c r="F239" s="74">
        <v>0</v>
      </c>
      <c r="G239" s="71">
        <f t="shared" si="12"/>
        <v>2318800262</v>
      </c>
      <c r="H239" s="60">
        <v>0</v>
      </c>
    </row>
    <row r="240" spans="1:9">
      <c r="A240" s="68"/>
      <c r="C240" s="70"/>
      <c r="D240" s="70"/>
      <c r="E240" s="70"/>
      <c r="F240" s="70"/>
      <c r="G240" s="76"/>
      <c r="I240" s="72"/>
    </row>
    <row r="241" spans="1:9">
      <c r="A241" s="68" t="s">
        <v>9</v>
      </c>
      <c r="B241" s="69">
        <v>1988</v>
      </c>
      <c r="C241" s="70">
        <v>2904264606</v>
      </c>
      <c r="D241" s="70">
        <v>2766315166</v>
      </c>
      <c r="E241" s="70">
        <v>4016774828</v>
      </c>
      <c r="F241" s="70">
        <v>0</v>
      </c>
      <c r="G241" s="71">
        <f>SUM(C241:F241)</f>
        <v>9687354600</v>
      </c>
      <c r="H241" s="60">
        <v>0</v>
      </c>
      <c r="I241" s="72"/>
    </row>
    <row r="242" spans="1:9">
      <c r="A242" s="68" t="s">
        <v>9</v>
      </c>
      <c r="B242" s="69">
        <v>1989</v>
      </c>
      <c r="C242" s="70">
        <v>2622317118</v>
      </c>
      <c r="D242" s="70">
        <v>3090286175</v>
      </c>
      <c r="E242" s="70">
        <v>4566724561</v>
      </c>
      <c r="F242" s="70">
        <v>0</v>
      </c>
      <c r="G242" s="71">
        <f t="shared" ref="G242:G265" si="13">SUM(C242:F242)</f>
        <v>10279327854</v>
      </c>
      <c r="H242" s="60">
        <v>0</v>
      </c>
      <c r="I242" s="72"/>
    </row>
    <row r="243" spans="1:9">
      <c r="A243" s="68" t="s">
        <v>9</v>
      </c>
      <c r="B243" s="69">
        <v>1990</v>
      </c>
      <c r="C243" s="70">
        <v>2785056749</v>
      </c>
      <c r="D243" s="70">
        <v>3399675776.1599998</v>
      </c>
      <c r="E243" s="70">
        <v>4910814104</v>
      </c>
      <c r="F243" s="70">
        <v>0</v>
      </c>
      <c r="G243" s="71">
        <f t="shared" si="13"/>
        <v>11095546629.16</v>
      </c>
      <c r="H243" s="60">
        <v>0</v>
      </c>
      <c r="I243" s="72"/>
    </row>
    <row r="244" spans="1:9">
      <c r="A244" s="68" t="s">
        <v>9</v>
      </c>
      <c r="B244" s="69">
        <v>1991</v>
      </c>
      <c r="C244" s="70">
        <v>3018214798</v>
      </c>
      <c r="D244" s="70">
        <v>3260602915</v>
      </c>
      <c r="E244" s="70">
        <v>4824686085</v>
      </c>
      <c r="F244" s="70">
        <v>0</v>
      </c>
      <c r="G244" s="71">
        <f t="shared" si="13"/>
        <v>11103503798</v>
      </c>
      <c r="H244" s="60">
        <v>0</v>
      </c>
      <c r="I244" s="72"/>
    </row>
    <row r="245" spans="1:9">
      <c r="A245" s="68" t="s">
        <v>9</v>
      </c>
      <c r="B245" s="69">
        <v>1992</v>
      </c>
      <c r="C245" s="70">
        <v>3162112541</v>
      </c>
      <c r="D245" s="70">
        <v>3336448588.6399999</v>
      </c>
      <c r="E245" s="70">
        <v>5037561670</v>
      </c>
      <c r="F245" s="70">
        <v>0</v>
      </c>
      <c r="G245" s="71">
        <f t="shared" si="13"/>
        <v>11536122799.639999</v>
      </c>
      <c r="H245" s="60">
        <v>0</v>
      </c>
      <c r="I245" s="72"/>
    </row>
    <row r="246" spans="1:9">
      <c r="A246" s="68" t="s">
        <v>9</v>
      </c>
      <c r="B246" s="69">
        <v>1993</v>
      </c>
      <c r="C246" s="70">
        <v>3409968139</v>
      </c>
      <c r="D246" s="70">
        <v>2977923343</v>
      </c>
      <c r="E246" s="70">
        <v>5262005332</v>
      </c>
      <c r="F246" s="70">
        <v>0</v>
      </c>
      <c r="G246" s="71">
        <f t="shared" si="13"/>
        <v>11649896814</v>
      </c>
      <c r="H246" s="60">
        <v>0</v>
      </c>
      <c r="I246" s="72"/>
    </row>
    <row r="247" spans="1:9">
      <c r="A247" s="68" t="s">
        <v>9</v>
      </c>
      <c r="B247" s="69">
        <v>1994</v>
      </c>
      <c r="C247" s="70">
        <v>3715944861</v>
      </c>
      <c r="D247" s="70">
        <v>3650195195</v>
      </c>
      <c r="E247" s="70">
        <v>5365881056</v>
      </c>
      <c r="F247" s="70">
        <v>0</v>
      </c>
      <c r="G247" s="71">
        <f t="shared" si="13"/>
        <v>12732021112</v>
      </c>
      <c r="H247" s="60">
        <v>0</v>
      </c>
      <c r="I247" s="72"/>
    </row>
    <row r="248" spans="1:9">
      <c r="A248" s="68" t="s">
        <v>9</v>
      </c>
      <c r="B248" s="69">
        <v>1995</v>
      </c>
      <c r="C248" s="70">
        <v>4287121478</v>
      </c>
      <c r="D248" s="70">
        <v>3533068915</v>
      </c>
      <c r="E248" s="70">
        <v>5524451760</v>
      </c>
      <c r="F248" s="70">
        <v>0</v>
      </c>
      <c r="G248" s="71">
        <f t="shared" si="13"/>
        <v>13344642153</v>
      </c>
      <c r="H248" s="60">
        <v>0</v>
      </c>
      <c r="I248" s="72"/>
    </row>
    <row r="249" spans="1:9">
      <c r="A249" s="68" t="s">
        <v>9</v>
      </c>
      <c r="B249" s="69">
        <v>1996</v>
      </c>
      <c r="C249" s="70">
        <v>4054776472</v>
      </c>
      <c r="D249" s="70">
        <v>3336938386</v>
      </c>
      <c r="E249" s="70">
        <v>5511083411</v>
      </c>
      <c r="F249" s="70">
        <v>0</v>
      </c>
      <c r="G249" s="71">
        <f t="shared" si="13"/>
        <v>12902798269</v>
      </c>
      <c r="H249" s="60">
        <v>0</v>
      </c>
      <c r="I249" s="72"/>
    </row>
    <row r="250" spans="1:9">
      <c r="A250" s="68" t="s">
        <v>9</v>
      </c>
      <c r="B250" s="69">
        <v>1997</v>
      </c>
      <c r="C250" s="70">
        <v>4280528455</v>
      </c>
      <c r="D250" s="70">
        <v>3709224961</v>
      </c>
      <c r="E250" s="70">
        <v>5430501418</v>
      </c>
      <c r="F250" s="70">
        <v>0</v>
      </c>
      <c r="G250" s="71">
        <f t="shared" si="13"/>
        <v>13420254834</v>
      </c>
      <c r="H250" s="60">
        <v>0</v>
      </c>
      <c r="I250" s="72"/>
    </row>
    <row r="251" spans="1:9">
      <c r="A251" s="68" t="s">
        <v>9</v>
      </c>
      <c r="B251" s="69">
        <v>1998</v>
      </c>
      <c r="C251" s="70">
        <v>4277963293</v>
      </c>
      <c r="D251" s="70">
        <v>3707410535</v>
      </c>
      <c r="E251" s="70">
        <v>5537143929</v>
      </c>
      <c r="F251" s="70">
        <v>0</v>
      </c>
      <c r="G251" s="71">
        <f t="shared" si="13"/>
        <v>13522517757</v>
      </c>
      <c r="H251" s="60">
        <v>0</v>
      </c>
      <c r="I251" s="72"/>
    </row>
    <row r="252" spans="1:9">
      <c r="A252" s="68" t="s">
        <v>9</v>
      </c>
      <c r="B252" s="69">
        <v>1999</v>
      </c>
      <c r="C252" s="70">
        <v>4145941046</v>
      </c>
      <c r="D252" s="70">
        <v>5013620199</v>
      </c>
      <c r="E252" s="70">
        <v>5741068706</v>
      </c>
      <c r="F252" s="70">
        <v>0</v>
      </c>
      <c r="G252" s="71">
        <f t="shared" si="13"/>
        <v>14900629951</v>
      </c>
      <c r="H252" s="60">
        <v>0</v>
      </c>
      <c r="I252" s="72"/>
    </row>
    <row r="253" spans="1:9">
      <c r="A253" s="68" t="s">
        <v>9</v>
      </c>
      <c r="B253" s="69">
        <v>2000</v>
      </c>
      <c r="C253" s="70">
        <v>4328405879</v>
      </c>
      <c r="D253" s="70">
        <v>5902011296</v>
      </c>
      <c r="E253" s="70">
        <v>6043302610</v>
      </c>
      <c r="F253" s="70">
        <v>0</v>
      </c>
      <c r="G253" s="71">
        <f t="shared" si="13"/>
        <v>16273719785</v>
      </c>
      <c r="H253" s="60">
        <v>0</v>
      </c>
      <c r="I253" s="72"/>
    </row>
    <row r="254" spans="1:9">
      <c r="A254" s="68" t="s">
        <v>9</v>
      </c>
      <c r="B254" s="69">
        <v>2001</v>
      </c>
      <c r="C254" s="70">
        <v>4556230821</v>
      </c>
      <c r="D254" s="70">
        <v>8535906409</v>
      </c>
      <c r="E254" s="70">
        <v>6691943712</v>
      </c>
      <c r="F254" s="70">
        <v>0</v>
      </c>
      <c r="G254" s="71">
        <f t="shared" si="13"/>
        <v>19784080942</v>
      </c>
      <c r="H254" s="60">
        <v>0</v>
      </c>
      <c r="I254" s="72"/>
    </row>
    <row r="255" spans="1:9">
      <c r="A255" s="68" t="s">
        <v>9</v>
      </c>
      <c r="B255" s="69">
        <v>2002</v>
      </c>
      <c r="C255" s="70">
        <v>4722240139</v>
      </c>
      <c r="D255" s="70">
        <v>12062139569</v>
      </c>
      <c r="E255" s="70">
        <v>7128916882</v>
      </c>
      <c r="F255" s="70">
        <v>0</v>
      </c>
      <c r="G255" s="71">
        <f t="shared" si="13"/>
        <v>23913296590</v>
      </c>
      <c r="H255" s="60">
        <v>0</v>
      </c>
      <c r="I255" s="72"/>
    </row>
    <row r="256" spans="1:9">
      <c r="A256" s="68" t="s">
        <v>9</v>
      </c>
      <c r="B256" s="69">
        <v>2003</v>
      </c>
      <c r="C256" s="73">
        <v>5134646920</v>
      </c>
      <c r="D256" s="73">
        <v>11338322377</v>
      </c>
      <c r="E256" s="73">
        <v>7680083229</v>
      </c>
      <c r="F256" s="70">
        <v>0</v>
      </c>
      <c r="G256" s="71">
        <f t="shared" si="13"/>
        <v>24153052526</v>
      </c>
      <c r="H256" s="60">
        <v>0</v>
      </c>
      <c r="I256" s="72"/>
    </row>
    <row r="257" spans="1:9">
      <c r="A257" s="68" t="s">
        <v>9</v>
      </c>
      <c r="B257" s="69">
        <v>2004</v>
      </c>
      <c r="C257" s="73">
        <v>5619245870</v>
      </c>
      <c r="D257" s="73">
        <v>8878815674</v>
      </c>
      <c r="E257" s="73">
        <v>8589728379</v>
      </c>
      <c r="F257" s="70">
        <v>0</v>
      </c>
      <c r="G257" s="71">
        <f t="shared" si="13"/>
        <v>23087789923</v>
      </c>
      <c r="H257" s="60">
        <v>0</v>
      </c>
    </row>
    <row r="258" spans="1:9">
      <c r="A258" s="68" t="s">
        <v>9</v>
      </c>
      <c r="B258" s="69">
        <v>2005</v>
      </c>
      <c r="C258" s="73">
        <v>5896022804</v>
      </c>
      <c r="D258" s="73">
        <v>7607281653</v>
      </c>
      <c r="E258" s="73">
        <v>9941072388.2799892</v>
      </c>
      <c r="F258" s="70">
        <v>0</v>
      </c>
      <c r="G258" s="71">
        <f t="shared" si="13"/>
        <v>23444376845.279991</v>
      </c>
      <c r="H258" s="60">
        <v>0</v>
      </c>
    </row>
    <row r="259" spans="1:9">
      <c r="A259" s="68" t="s">
        <v>9</v>
      </c>
      <c r="B259" s="69">
        <v>2006</v>
      </c>
      <c r="C259" s="74">
        <v>6477413628</v>
      </c>
      <c r="D259" s="74">
        <v>8236527265</v>
      </c>
      <c r="E259" s="74">
        <v>10959160794</v>
      </c>
      <c r="F259" s="70">
        <v>0</v>
      </c>
      <c r="G259" s="71">
        <f t="shared" si="13"/>
        <v>25673101687</v>
      </c>
      <c r="H259" s="60">
        <v>0</v>
      </c>
    </row>
    <row r="260" spans="1:9">
      <c r="A260" s="68" t="s">
        <v>9</v>
      </c>
      <c r="B260" s="69">
        <v>2007</v>
      </c>
      <c r="C260" s="74">
        <v>6737841562</v>
      </c>
      <c r="D260" s="74">
        <v>9503241605</v>
      </c>
      <c r="E260" s="74">
        <v>14723125905</v>
      </c>
      <c r="F260" s="70">
        <v>0</v>
      </c>
      <c r="G260" s="71">
        <f t="shared" si="13"/>
        <v>30964209072</v>
      </c>
      <c r="H260" s="60">
        <v>0</v>
      </c>
    </row>
    <row r="261" spans="1:9">
      <c r="A261" s="68" t="s">
        <v>9</v>
      </c>
      <c r="B261" s="69">
        <v>2008</v>
      </c>
      <c r="C261" s="74">
        <v>6902676520</v>
      </c>
      <c r="D261" s="74">
        <v>13498259765</v>
      </c>
      <c r="E261" s="74">
        <v>15399410273</v>
      </c>
      <c r="F261" s="70">
        <v>0</v>
      </c>
      <c r="G261" s="71">
        <f t="shared" si="13"/>
        <v>35800346558</v>
      </c>
      <c r="H261" s="60">
        <v>0</v>
      </c>
    </row>
    <row r="262" spans="1:9">
      <c r="A262" s="68" t="s">
        <v>9</v>
      </c>
      <c r="B262" s="69">
        <v>2009</v>
      </c>
      <c r="C262" s="74">
        <v>6999870075</v>
      </c>
      <c r="D262" s="74">
        <v>13125370809</v>
      </c>
      <c r="E262" s="74">
        <v>15565154033</v>
      </c>
      <c r="F262" s="70">
        <v>0</v>
      </c>
      <c r="G262" s="71">
        <f t="shared" si="13"/>
        <v>35690394917</v>
      </c>
      <c r="H262" s="60">
        <v>0</v>
      </c>
    </row>
    <row r="263" spans="1:9">
      <c r="A263" s="68" t="s">
        <v>9</v>
      </c>
      <c r="B263" s="69">
        <v>2010</v>
      </c>
      <c r="C263" s="74">
        <v>7258349178</v>
      </c>
      <c r="D263" s="74">
        <v>11073309892</v>
      </c>
      <c r="E263" s="74">
        <v>16019974112</v>
      </c>
      <c r="F263" s="70">
        <v>0</v>
      </c>
      <c r="G263" s="71">
        <f t="shared" si="13"/>
        <v>34351633182</v>
      </c>
      <c r="H263" s="60">
        <v>0</v>
      </c>
    </row>
    <row r="264" spans="1:9">
      <c r="A264" s="68" t="s">
        <v>9</v>
      </c>
      <c r="B264" s="69">
        <v>2011</v>
      </c>
      <c r="C264" s="74">
        <v>7532542724</v>
      </c>
      <c r="D264" s="74">
        <v>10744644453</v>
      </c>
      <c r="E264" s="74">
        <v>16012672883.950001</v>
      </c>
      <c r="F264" s="70">
        <v>0</v>
      </c>
      <c r="G264" s="71">
        <f t="shared" si="13"/>
        <v>34289860060.950001</v>
      </c>
      <c r="H264" s="60">
        <v>0</v>
      </c>
    </row>
    <row r="265" spans="1:9">
      <c r="A265" s="68" t="s">
        <v>9</v>
      </c>
      <c r="B265" s="69">
        <v>2012</v>
      </c>
      <c r="C265" s="74">
        <v>7825022377</v>
      </c>
      <c r="D265" s="74">
        <v>13111423767</v>
      </c>
      <c r="E265" s="74">
        <v>14295540155</v>
      </c>
      <c r="F265" s="70">
        <v>0</v>
      </c>
      <c r="G265" s="71">
        <f t="shared" si="13"/>
        <v>35231986299</v>
      </c>
      <c r="H265" s="60">
        <v>0</v>
      </c>
    </row>
    <row r="266" spans="1:9">
      <c r="A266" s="68"/>
      <c r="C266" s="70"/>
      <c r="D266" s="70"/>
      <c r="E266" s="70"/>
      <c r="F266" s="70"/>
      <c r="G266" s="76"/>
      <c r="I266" s="72"/>
    </row>
    <row r="267" spans="1:9">
      <c r="A267" s="68" t="s">
        <v>10</v>
      </c>
      <c r="B267" s="69">
        <v>1988</v>
      </c>
      <c r="C267" s="70">
        <v>1651853622</v>
      </c>
      <c r="D267" s="70">
        <v>637077492</v>
      </c>
      <c r="E267" s="70">
        <v>1539502266</v>
      </c>
      <c r="F267" s="70">
        <v>590976969</v>
      </c>
      <c r="G267" s="71">
        <f>SUM(C267:F267)</f>
        <v>4419410349</v>
      </c>
      <c r="H267" s="60">
        <v>0</v>
      </c>
      <c r="I267" s="72"/>
    </row>
    <row r="268" spans="1:9">
      <c r="A268" s="68" t="s">
        <v>10</v>
      </c>
      <c r="B268" s="69">
        <v>1989</v>
      </c>
      <c r="C268" s="70">
        <v>1746241815</v>
      </c>
      <c r="D268" s="70">
        <v>628533462</v>
      </c>
      <c r="E268" s="70">
        <v>1693237863</v>
      </c>
      <c r="F268" s="70">
        <v>596919974</v>
      </c>
      <c r="G268" s="71">
        <f t="shared" ref="G268:G291" si="14">SUM(C268:F268)</f>
        <v>4664933114</v>
      </c>
      <c r="H268" s="60">
        <v>0</v>
      </c>
      <c r="I268" s="72"/>
    </row>
    <row r="269" spans="1:9">
      <c r="A269" s="68" t="s">
        <v>10</v>
      </c>
      <c r="B269" s="69">
        <v>1990</v>
      </c>
      <c r="C269" s="70">
        <v>2309173087</v>
      </c>
      <c r="D269" s="70">
        <v>760124195.79999995</v>
      </c>
      <c r="E269" s="70">
        <v>1824468127</v>
      </c>
      <c r="F269" s="70">
        <v>551210647</v>
      </c>
      <c r="G269" s="71">
        <f t="shared" si="14"/>
        <v>5444976056.8000002</v>
      </c>
      <c r="H269" s="60">
        <v>0</v>
      </c>
      <c r="I269" s="72"/>
    </row>
    <row r="270" spans="1:9">
      <c r="A270" s="68" t="s">
        <v>10</v>
      </c>
      <c r="B270" s="69">
        <v>1991</v>
      </c>
      <c r="C270" s="70">
        <v>1841069807</v>
      </c>
      <c r="D270" s="70">
        <v>605465260</v>
      </c>
      <c r="E270" s="70">
        <v>1912591664</v>
      </c>
      <c r="F270" s="70">
        <v>689638415</v>
      </c>
      <c r="G270" s="71">
        <f t="shared" si="14"/>
        <v>5048765146</v>
      </c>
      <c r="H270" s="60">
        <v>0</v>
      </c>
      <c r="I270" s="72"/>
    </row>
    <row r="271" spans="1:9">
      <c r="A271" s="68" t="s">
        <v>10</v>
      </c>
      <c r="B271" s="69">
        <v>1992</v>
      </c>
      <c r="C271" s="70">
        <v>1970694356</v>
      </c>
      <c r="D271" s="70">
        <v>803565372.88</v>
      </c>
      <c r="E271" s="70">
        <v>2000369427</v>
      </c>
      <c r="F271" s="70">
        <v>526747407</v>
      </c>
      <c r="G271" s="71">
        <f t="shared" si="14"/>
        <v>5301376562.8800001</v>
      </c>
      <c r="H271" s="60">
        <v>0</v>
      </c>
      <c r="I271" s="72"/>
    </row>
    <row r="272" spans="1:9">
      <c r="A272" s="68" t="s">
        <v>10</v>
      </c>
      <c r="B272" s="69">
        <v>1993</v>
      </c>
      <c r="C272" s="70">
        <v>2098423104</v>
      </c>
      <c r="D272" s="70">
        <v>531702558</v>
      </c>
      <c r="E272" s="70">
        <v>2146166805</v>
      </c>
      <c r="F272" s="70">
        <v>522014082</v>
      </c>
      <c r="G272" s="71">
        <f t="shared" si="14"/>
        <v>5298306549</v>
      </c>
      <c r="H272" s="60">
        <v>0</v>
      </c>
      <c r="I272" s="72"/>
    </row>
    <row r="273" spans="1:9">
      <c r="A273" s="68" t="s">
        <v>10</v>
      </c>
      <c r="B273" s="69">
        <v>1994</v>
      </c>
      <c r="C273" s="70">
        <v>2282019202</v>
      </c>
      <c r="D273" s="70">
        <v>705403547</v>
      </c>
      <c r="E273" s="70">
        <v>2282243817</v>
      </c>
      <c r="F273" s="70">
        <v>487037622</v>
      </c>
      <c r="G273" s="71">
        <f t="shared" si="14"/>
        <v>5756704188</v>
      </c>
      <c r="H273" s="60">
        <v>0</v>
      </c>
      <c r="I273" s="72"/>
    </row>
    <row r="274" spans="1:9">
      <c r="A274" s="68" t="s">
        <v>10</v>
      </c>
      <c r="B274" s="69">
        <v>1995</v>
      </c>
      <c r="C274" s="70">
        <v>2567907585</v>
      </c>
      <c r="D274" s="70">
        <v>716891479</v>
      </c>
      <c r="E274" s="70">
        <v>2380262718</v>
      </c>
      <c r="F274" s="70">
        <v>531272701</v>
      </c>
      <c r="G274" s="71">
        <f t="shared" si="14"/>
        <v>6196334483</v>
      </c>
      <c r="H274" s="60">
        <v>0</v>
      </c>
      <c r="I274" s="72"/>
    </row>
    <row r="275" spans="1:9">
      <c r="A275" s="68" t="s">
        <v>10</v>
      </c>
      <c r="B275" s="69">
        <v>1996</v>
      </c>
      <c r="C275" s="70">
        <v>2369005513</v>
      </c>
      <c r="D275" s="70">
        <v>764306413</v>
      </c>
      <c r="E275" s="70">
        <v>2449589248</v>
      </c>
      <c r="F275" s="70">
        <v>441261624</v>
      </c>
      <c r="G275" s="71">
        <f t="shared" si="14"/>
        <v>6024162798</v>
      </c>
      <c r="H275" s="60">
        <v>0</v>
      </c>
      <c r="I275" s="72"/>
    </row>
    <row r="276" spans="1:9">
      <c r="A276" s="68" t="s">
        <v>10</v>
      </c>
      <c r="B276" s="69">
        <v>1997</v>
      </c>
      <c r="C276" s="70">
        <v>2428324567</v>
      </c>
      <c r="D276" s="70">
        <v>768673675</v>
      </c>
      <c r="E276" s="70">
        <v>2434033051</v>
      </c>
      <c r="F276" s="70">
        <v>447223192</v>
      </c>
      <c r="G276" s="71">
        <f t="shared" si="14"/>
        <v>6078254485</v>
      </c>
      <c r="H276" s="60">
        <v>0</v>
      </c>
      <c r="I276" s="72"/>
    </row>
    <row r="277" spans="1:9">
      <c r="A277" s="68" t="s">
        <v>10</v>
      </c>
      <c r="B277" s="69">
        <v>1998</v>
      </c>
      <c r="C277" s="70">
        <v>2622036548</v>
      </c>
      <c r="D277" s="70">
        <v>747830907</v>
      </c>
      <c r="E277" s="70">
        <v>2510294567</v>
      </c>
      <c r="F277" s="70">
        <v>420309326</v>
      </c>
      <c r="G277" s="71">
        <f t="shared" si="14"/>
        <v>6300471348</v>
      </c>
      <c r="H277" s="60">
        <v>0</v>
      </c>
      <c r="I277" s="72"/>
    </row>
    <row r="278" spans="1:9">
      <c r="A278" s="68" t="s">
        <v>10</v>
      </c>
      <c r="B278" s="69">
        <v>1999</v>
      </c>
      <c r="C278" s="70">
        <v>2768837267</v>
      </c>
      <c r="D278" s="70">
        <v>1144539525</v>
      </c>
      <c r="E278" s="70">
        <v>2687358073</v>
      </c>
      <c r="F278" s="70">
        <v>368226950</v>
      </c>
      <c r="G278" s="71">
        <f t="shared" si="14"/>
        <v>6968961815</v>
      </c>
      <c r="H278" s="60">
        <v>0</v>
      </c>
      <c r="I278" s="72"/>
    </row>
    <row r="279" spans="1:9">
      <c r="A279" s="68" t="s">
        <v>10</v>
      </c>
      <c r="B279" s="69">
        <v>2000</v>
      </c>
      <c r="C279" s="70">
        <v>2705365144</v>
      </c>
      <c r="D279" s="70">
        <v>1188060986</v>
      </c>
      <c r="E279" s="70">
        <v>2792966214</v>
      </c>
      <c r="F279" s="70">
        <v>441152243</v>
      </c>
      <c r="G279" s="71">
        <f t="shared" si="14"/>
        <v>7127544587</v>
      </c>
      <c r="H279" s="60">
        <v>0</v>
      </c>
      <c r="I279" s="72"/>
    </row>
    <row r="280" spans="1:9">
      <c r="A280" s="68" t="s">
        <v>10</v>
      </c>
      <c r="B280" s="69">
        <v>2001</v>
      </c>
      <c r="C280" s="70">
        <v>2809156234</v>
      </c>
      <c r="D280" s="70">
        <v>1740072374</v>
      </c>
      <c r="E280" s="70">
        <v>2884712920</v>
      </c>
      <c r="F280" s="70">
        <v>408108249</v>
      </c>
      <c r="G280" s="71">
        <f t="shared" si="14"/>
        <v>7842049777</v>
      </c>
      <c r="H280" s="60">
        <v>0</v>
      </c>
      <c r="I280" s="72"/>
    </row>
    <row r="281" spans="1:9">
      <c r="A281" s="68" t="s">
        <v>10</v>
      </c>
      <c r="B281" s="69">
        <v>2002</v>
      </c>
      <c r="C281" s="70">
        <v>2920365305</v>
      </c>
      <c r="D281" s="70">
        <v>2492103815</v>
      </c>
      <c r="E281" s="70">
        <v>2847086261</v>
      </c>
      <c r="F281" s="70">
        <v>529180604</v>
      </c>
      <c r="G281" s="71">
        <f t="shared" si="14"/>
        <v>8788735985</v>
      </c>
      <c r="H281" s="60">
        <v>0</v>
      </c>
      <c r="I281" s="72"/>
    </row>
    <row r="282" spans="1:9">
      <c r="A282" s="68" t="s">
        <v>10</v>
      </c>
      <c r="B282" s="69">
        <v>2003</v>
      </c>
      <c r="C282" s="73">
        <v>3000073998</v>
      </c>
      <c r="D282" s="73">
        <v>2506300505</v>
      </c>
      <c r="E282" s="73">
        <v>2844873479</v>
      </c>
      <c r="F282" s="73">
        <v>669389456</v>
      </c>
      <c r="G282" s="71">
        <f t="shared" si="14"/>
        <v>9020637438</v>
      </c>
      <c r="H282" s="60">
        <v>0</v>
      </c>
      <c r="I282" s="72"/>
    </row>
    <row r="283" spans="1:9">
      <c r="A283" s="68" t="s">
        <v>10</v>
      </c>
      <c r="B283" s="69">
        <v>2004</v>
      </c>
      <c r="C283" s="73">
        <v>3125411036</v>
      </c>
      <c r="D283" s="73">
        <v>1976527927</v>
      </c>
      <c r="E283" s="73">
        <v>2985047415</v>
      </c>
      <c r="F283" s="73">
        <v>611573059</v>
      </c>
      <c r="G283" s="71">
        <f t="shared" si="14"/>
        <v>8698559437</v>
      </c>
      <c r="H283" s="60">
        <v>0</v>
      </c>
    </row>
    <row r="284" spans="1:9">
      <c r="A284" s="68" t="s">
        <v>10</v>
      </c>
      <c r="B284" s="69">
        <v>2005</v>
      </c>
      <c r="C284" s="73">
        <v>3263007134</v>
      </c>
      <c r="D284" s="73">
        <v>1960725744</v>
      </c>
      <c r="E284" s="73">
        <v>3209940916.6399899</v>
      </c>
      <c r="F284" s="73">
        <v>644182010</v>
      </c>
      <c r="G284" s="71">
        <f t="shared" si="14"/>
        <v>9077855804.6399899</v>
      </c>
      <c r="H284" s="60">
        <v>0</v>
      </c>
    </row>
    <row r="285" spans="1:9">
      <c r="A285" s="68" t="s">
        <v>10</v>
      </c>
      <c r="B285" s="69">
        <v>2006</v>
      </c>
      <c r="C285" s="74">
        <v>3505771048</v>
      </c>
      <c r="D285" s="74">
        <v>2099956017</v>
      </c>
      <c r="E285" s="74">
        <v>3741417739</v>
      </c>
      <c r="F285" s="74">
        <v>647129014</v>
      </c>
      <c r="G285" s="71">
        <f t="shared" si="14"/>
        <v>9994273818</v>
      </c>
      <c r="H285" s="60">
        <v>0</v>
      </c>
    </row>
    <row r="286" spans="1:9">
      <c r="A286" s="68" t="s">
        <v>10</v>
      </c>
      <c r="B286" s="69">
        <v>2007</v>
      </c>
      <c r="C286" s="74">
        <v>3582468504</v>
      </c>
      <c r="D286" s="74">
        <v>2129925976</v>
      </c>
      <c r="E286" s="74">
        <v>4402674249</v>
      </c>
      <c r="F286" s="74">
        <v>614422918</v>
      </c>
      <c r="G286" s="71">
        <f t="shared" si="14"/>
        <v>10729491647</v>
      </c>
      <c r="H286" s="60">
        <v>0</v>
      </c>
    </row>
    <row r="287" spans="1:9">
      <c r="A287" s="68" t="s">
        <v>10</v>
      </c>
      <c r="B287" s="69">
        <v>2008</v>
      </c>
      <c r="C287" s="74">
        <v>3702644975</v>
      </c>
      <c r="D287" s="74">
        <v>3044225771</v>
      </c>
      <c r="E287" s="74">
        <v>4891949987</v>
      </c>
      <c r="F287" s="74">
        <v>809438239</v>
      </c>
      <c r="G287" s="71">
        <f t="shared" si="14"/>
        <v>12448258972</v>
      </c>
      <c r="H287" s="60">
        <v>0</v>
      </c>
    </row>
    <row r="288" spans="1:9">
      <c r="A288" s="68" t="s">
        <v>10</v>
      </c>
      <c r="B288" s="69">
        <v>2009</v>
      </c>
      <c r="C288" s="74">
        <v>3820786015</v>
      </c>
      <c r="D288" s="74">
        <v>2985838083</v>
      </c>
      <c r="E288" s="74">
        <v>5335452434</v>
      </c>
      <c r="F288" s="74">
        <v>624736998</v>
      </c>
      <c r="G288" s="71">
        <f t="shared" si="14"/>
        <v>12766813530</v>
      </c>
      <c r="H288" s="60">
        <v>0</v>
      </c>
    </row>
    <row r="289" spans="1:9">
      <c r="A289" s="68" t="s">
        <v>10</v>
      </c>
      <c r="B289" s="69">
        <v>2010</v>
      </c>
      <c r="C289" s="74">
        <v>3995546886</v>
      </c>
      <c r="D289" s="74">
        <v>2436414758</v>
      </c>
      <c r="E289" s="74">
        <v>6271861186</v>
      </c>
      <c r="F289" s="74">
        <v>708006189</v>
      </c>
      <c r="G289" s="71">
        <f t="shared" si="14"/>
        <v>13411829019</v>
      </c>
      <c r="H289" s="60">
        <v>0</v>
      </c>
    </row>
    <row r="290" spans="1:9">
      <c r="A290" s="68" t="s">
        <v>10</v>
      </c>
      <c r="B290" s="69">
        <v>2011</v>
      </c>
      <c r="C290" s="74">
        <v>3983128965</v>
      </c>
      <c r="D290" s="74">
        <v>2572352693</v>
      </c>
      <c r="E290" s="74">
        <v>6426640876</v>
      </c>
      <c r="F290" s="74">
        <v>678456498</v>
      </c>
      <c r="G290" s="71">
        <f t="shared" si="14"/>
        <v>13660579032</v>
      </c>
      <c r="H290" s="60">
        <v>0</v>
      </c>
    </row>
    <row r="291" spans="1:9">
      <c r="A291" s="68" t="s">
        <v>10</v>
      </c>
      <c r="B291" s="69">
        <v>2012</v>
      </c>
      <c r="C291" s="74">
        <v>4320375438</v>
      </c>
      <c r="D291" s="74">
        <v>3347688205</v>
      </c>
      <c r="E291" s="74">
        <v>5308193551</v>
      </c>
      <c r="F291" s="74">
        <v>619779629</v>
      </c>
      <c r="G291" s="71">
        <f t="shared" si="14"/>
        <v>13596036823</v>
      </c>
      <c r="H291" s="60">
        <v>0</v>
      </c>
    </row>
    <row r="292" spans="1:9">
      <c r="A292" s="68"/>
      <c r="C292" s="70"/>
      <c r="D292" s="70"/>
      <c r="E292" s="70"/>
      <c r="F292" s="70"/>
      <c r="G292" s="76"/>
      <c r="I292" s="72"/>
    </row>
    <row r="293" spans="1:9">
      <c r="A293" s="68" t="s">
        <v>11</v>
      </c>
      <c r="B293" s="69">
        <v>1988</v>
      </c>
      <c r="C293" s="70">
        <v>292686064</v>
      </c>
      <c r="D293" s="70">
        <v>222200416</v>
      </c>
      <c r="E293" s="70">
        <v>119228811</v>
      </c>
      <c r="F293" s="70">
        <v>0</v>
      </c>
      <c r="G293" s="71">
        <f>SUM(C293:F293)</f>
        <v>634115291</v>
      </c>
      <c r="H293" s="60">
        <v>0</v>
      </c>
      <c r="I293" s="72"/>
    </row>
    <row r="294" spans="1:9">
      <c r="A294" s="68" t="s">
        <v>11</v>
      </c>
      <c r="B294" s="69">
        <v>1989</v>
      </c>
      <c r="C294" s="70">
        <v>271467846</v>
      </c>
      <c r="D294" s="70">
        <v>293377869</v>
      </c>
      <c r="E294" s="70">
        <v>125767114</v>
      </c>
      <c r="F294" s="70">
        <v>0</v>
      </c>
      <c r="G294" s="71">
        <f t="shared" ref="G294:G317" si="15">SUM(C294:F294)</f>
        <v>690612829</v>
      </c>
      <c r="H294" s="60">
        <v>0</v>
      </c>
      <c r="I294" s="72"/>
    </row>
    <row r="295" spans="1:9">
      <c r="A295" s="68" t="s">
        <v>11</v>
      </c>
      <c r="B295" s="69">
        <v>1990</v>
      </c>
      <c r="C295" s="70">
        <v>307921019</v>
      </c>
      <c r="D295" s="70">
        <v>385024537.83999997</v>
      </c>
      <c r="E295" s="70">
        <v>130123595</v>
      </c>
      <c r="F295" s="70">
        <v>0</v>
      </c>
      <c r="G295" s="71">
        <f t="shared" si="15"/>
        <v>823069151.83999991</v>
      </c>
      <c r="H295" s="60">
        <v>0</v>
      </c>
      <c r="I295" s="72"/>
    </row>
    <row r="296" spans="1:9">
      <c r="A296" s="68" t="s">
        <v>11</v>
      </c>
      <c r="B296" s="69">
        <v>1991</v>
      </c>
      <c r="C296" s="70">
        <v>339685365</v>
      </c>
      <c r="D296" s="70">
        <v>291514770</v>
      </c>
      <c r="E296" s="70">
        <v>138284159</v>
      </c>
      <c r="F296" s="70">
        <v>0</v>
      </c>
      <c r="G296" s="71">
        <f t="shared" si="15"/>
        <v>769484294</v>
      </c>
      <c r="H296" s="60">
        <v>0</v>
      </c>
      <c r="I296" s="72"/>
    </row>
    <row r="297" spans="1:9">
      <c r="A297" s="68" t="s">
        <v>11</v>
      </c>
      <c r="B297" s="69">
        <v>1992</v>
      </c>
      <c r="C297" s="70">
        <v>350257420</v>
      </c>
      <c r="D297" s="70">
        <v>308282151.60000002</v>
      </c>
      <c r="E297" s="70">
        <v>148633372</v>
      </c>
      <c r="F297" s="70">
        <v>0</v>
      </c>
      <c r="G297" s="71">
        <f t="shared" si="15"/>
        <v>807172943.60000002</v>
      </c>
      <c r="H297" s="60">
        <v>0</v>
      </c>
      <c r="I297" s="72"/>
    </row>
    <row r="298" spans="1:9">
      <c r="A298" s="68" t="s">
        <v>11</v>
      </c>
      <c r="B298" s="69">
        <v>1993</v>
      </c>
      <c r="C298" s="70">
        <v>352932662</v>
      </c>
      <c r="D298" s="70">
        <v>256075180</v>
      </c>
      <c r="E298" s="70">
        <v>153389324</v>
      </c>
      <c r="F298" s="70">
        <v>0</v>
      </c>
      <c r="G298" s="71">
        <f t="shared" si="15"/>
        <v>762397166</v>
      </c>
      <c r="H298" s="60">
        <v>0</v>
      </c>
      <c r="I298" s="72"/>
    </row>
    <row r="299" spans="1:9">
      <c r="A299" s="68" t="s">
        <v>11</v>
      </c>
      <c r="B299" s="69">
        <v>1994</v>
      </c>
      <c r="C299" s="70">
        <v>376354138</v>
      </c>
      <c r="D299" s="70">
        <v>387647554</v>
      </c>
      <c r="E299" s="70">
        <v>157065300</v>
      </c>
      <c r="F299" s="70">
        <v>0</v>
      </c>
      <c r="G299" s="71">
        <f t="shared" si="15"/>
        <v>921066992</v>
      </c>
      <c r="H299" s="60">
        <v>0</v>
      </c>
      <c r="I299" s="72"/>
    </row>
    <row r="300" spans="1:9">
      <c r="A300" s="68" t="s">
        <v>11</v>
      </c>
      <c r="B300" s="69">
        <v>1995</v>
      </c>
      <c r="C300" s="70">
        <v>459545008</v>
      </c>
      <c r="D300" s="70">
        <v>384824639</v>
      </c>
      <c r="E300" s="70">
        <v>158199562</v>
      </c>
      <c r="F300" s="70">
        <v>0</v>
      </c>
      <c r="G300" s="71">
        <f t="shared" si="15"/>
        <v>1002569209</v>
      </c>
      <c r="H300" s="60">
        <v>0</v>
      </c>
      <c r="I300" s="72"/>
    </row>
    <row r="301" spans="1:9">
      <c r="A301" s="68" t="s">
        <v>11</v>
      </c>
      <c r="B301" s="69">
        <v>1996</v>
      </c>
      <c r="C301" s="70">
        <v>413233413</v>
      </c>
      <c r="D301" s="70">
        <v>489260313</v>
      </c>
      <c r="E301" s="70">
        <v>175717710</v>
      </c>
      <c r="F301" s="70">
        <v>0</v>
      </c>
      <c r="G301" s="71">
        <f t="shared" si="15"/>
        <v>1078211436</v>
      </c>
      <c r="H301" s="60">
        <v>0</v>
      </c>
      <c r="I301" s="72"/>
    </row>
    <row r="302" spans="1:9">
      <c r="A302" s="68" t="s">
        <v>11</v>
      </c>
      <c r="B302" s="69">
        <v>1997</v>
      </c>
      <c r="C302" s="70">
        <v>446611937</v>
      </c>
      <c r="D302" s="70">
        <v>357280503</v>
      </c>
      <c r="E302" s="70">
        <v>175447406</v>
      </c>
      <c r="F302" s="70">
        <v>0</v>
      </c>
      <c r="G302" s="71">
        <f t="shared" si="15"/>
        <v>979339846</v>
      </c>
      <c r="H302" s="60">
        <v>0</v>
      </c>
      <c r="I302" s="72"/>
    </row>
    <row r="303" spans="1:9">
      <c r="A303" s="68" t="s">
        <v>11</v>
      </c>
      <c r="B303" s="69">
        <v>1998</v>
      </c>
      <c r="C303" s="70">
        <v>413901881</v>
      </c>
      <c r="D303" s="70">
        <v>413338303</v>
      </c>
      <c r="E303" s="70">
        <v>170690538</v>
      </c>
      <c r="F303" s="70">
        <v>0</v>
      </c>
      <c r="G303" s="71">
        <f t="shared" si="15"/>
        <v>997930722</v>
      </c>
      <c r="H303" s="60">
        <v>0</v>
      </c>
      <c r="I303" s="72"/>
    </row>
    <row r="304" spans="1:9">
      <c r="A304" s="68" t="s">
        <v>11</v>
      </c>
      <c r="B304" s="69">
        <v>1999</v>
      </c>
      <c r="C304" s="70">
        <v>437280519</v>
      </c>
      <c r="D304" s="70">
        <v>438396889</v>
      </c>
      <c r="E304" s="70">
        <v>182601407</v>
      </c>
      <c r="F304" s="70">
        <v>0</v>
      </c>
      <c r="G304" s="71">
        <f t="shared" si="15"/>
        <v>1058278815</v>
      </c>
      <c r="H304" s="60">
        <v>0</v>
      </c>
      <c r="I304" s="72"/>
    </row>
    <row r="305" spans="1:9">
      <c r="A305" s="68" t="s">
        <v>11</v>
      </c>
      <c r="B305" s="69">
        <v>2000</v>
      </c>
      <c r="C305" s="70">
        <v>514076764</v>
      </c>
      <c r="D305" s="70">
        <v>567135516</v>
      </c>
      <c r="E305" s="70">
        <v>201211269</v>
      </c>
      <c r="F305" s="70">
        <v>0</v>
      </c>
      <c r="G305" s="71">
        <f t="shared" si="15"/>
        <v>1282423549</v>
      </c>
      <c r="H305" s="60">
        <v>0</v>
      </c>
      <c r="I305" s="72"/>
    </row>
    <row r="306" spans="1:9">
      <c r="A306" s="68" t="s">
        <v>11</v>
      </c>
      <c r="B306" s="69">
        <v>2001</v>
      </c>
      <c r="C306" s="70">
        <v>393712531</v>
      </c>
      <c r="D306" s="70">
        <v>624528133</v>
      </c>
      <c r="E306" s="70">
        <v>208532835</v>
      </c>
      <c r="F306" s="70">
        <v>0</v>
      </c>
      <c r="G306" s="71">
        <f t="shared" si="15"/>
        <v>1226773499</v>
      </c>
      <c r="H306" s="60">
        <v>0</v>
      </c>
      <c r="I306" s="72"/>
    </row>
    <row r="307" spans="1:9">
      <c r="A307" s="68" t="s">
        <v>11</v>
      </c>
      <c r="B307" s="69">
        <v>2002</v>
      </c>
      <c r="C307" s="70">
        <v>474929610</v>
      </c>
      <c r="D307" s="70">
        <v>829282949</v>
      </c>
      <c r="E307" s="70">
        <v>224955478</v>
      </c>
      <c r="F307" s="70">
        <v>0</v>
      </c>
      <c r="G307" s="71">
        <f t="shared" si="15"/>
        <v>1529168037</v>
      </c>
      <c r="H307" s="60">
        <v>0</v>
      </c>
      <c r="I307" s="72"/>
    </row>
    <row r="308" spans="1:9">
      <c r="A308" s="68" t="s">
        <v>11</v>
      </c>
      <c r="B308" s="69">
        <v>2003</v>
      </c>
      <c r="C308" s="73">
        <v>521909669</v>
      </c>
      <c r="D308" s="73">
        <v>797316118</v>
      </c>
      <c r="E308" s="73">
        <v>234767150</v>
      </c>
      <c r="F308" s="70">
        <v>0</v>
      </c>
      <c r="G308" s="71">
        <f t="shared" si="15"/>
        <v>1553992937</v>
      </c>
      <c r="H308" s="60">
        <v>0</v>
      </c>
      <c r="I308" s="72"/>
    </row>
    <row r="309" spans="1:9">
      <c r="A309" s="68" t="s">
        <v>11</v>
      </c>
      <c r="B309" s="69">
        <v>2004</v>
      </c>
      <c r="C309" s="73">
        <v>469416393</v>
      </c>
      <c r="D309" s="73">
        <v>704378484</v>
      </c>
      <c r="E309" s="73">
        <v>250783994</v>
      </c>
      <c r="F309" s="70">
        <v>0</v>
      </c>
      <c r="G309" s="71">
        <f t="shared" si="15"/>
        <v>1424578871</v>
      </c>
      <c r="H309" s="60">
        <v>0</v>
      </c>
    </row>
    <row r="310" spans="1:9">
      <c r="A310" s="68" t="s">
        <v>11</v>
      </c>
      <c r="B310" s="69">
        <v>2005</v>
      </c>
      <c r="C310" s="73">
        <v>497219236</v>
      </c>
      <c r="D310" s="73">
        <v>692529159</v>
      </c>
      <c r="E310" s="73">
        <v>265357425.329999</v>
      </c>
      <c r="F310" s="70">
        <v>0</v>
      </c>
      <c r="G310" s="71">
        <f t="shared" si="15"/>
        <v>1455105820.329999</v>
      </c>
      <c r="H310" s="60">
        <v>0</v>
      </c>
    </row>
    <row r="311" spans="1:9">
      <c r="A311" s="68" t="s">
        <v>11</v>
      </c>
      <c r="B311" s="69">
        <v>2006</v>
      </c>
      <c r="C311" s="74">
        <v>510463157</v>
      </c>
      <c r="D311" s="74">
        <v>838750531</v>
      </c>
      <c r="E311" s="74">
        <v>338469824</v>
      </c>
      <c r="F311" s="74">
        <v>0</v>
      </c>
      <c r="G311" s="71">
        <f t="shared" si="15"/>
        <v>1687683512</v>
      </c>
      <c r="H311" s="60">
        <v>0</v>
      </c>
    </row>
    <row r="312" spans="1:9">
      <c r="A312" s="68" t="s">
        <v>11</v>
      </c>
      <c r="B312" s="69">
        <v>2007</v>
      </c>
      <c r="C312" s="74">
        <v>505107454</v>
      </c>
      <c r="D312" s="74">
        <v>842533842</v>
      </c>
      <c r="E312" s="74">
        <v>402081140</v>
      </c>
      <c r="F312" s="74">
        <v>0</v>
      </c>
      <c r="G312" s="71">
        <f t="shared" si="15"/>
        <v>1749722436</v>
      </c>
      <c r="H312" s="60">
        <v>0</v>
      </c>
    </row>
    <row r="313" spans="1:9">
      <c r="A313" s="68" t="s">
        <v>11</v>
      </c>
      <c r="B313" s="69">
        <v>2008</v>
      </c>
      <c r="C313" s="74">
        <v>604155199</v>
      </c>
      <c r="D313" s="74">
        <v>1098537973</v>
      </c>
      <c r="E313" s="74">
        <v>454006775</v>
      </c>
      <c r="F313" s="74">
        <v>0</v>
      </c>
      <c r="G313" s="71">
        <f t="shared" si="15"/>
        <v>2156699947</v>
      </c>
      <c r="H313" s="60">
        <v>0</v>
      </c>
    </row>
    <row r="314" spans="1:9">
      <c r="A314" s="68" t="s">
        <v>11</v>
      </c>
      <c r="B314" s="69">
        <v>2009</v>
      </c>
      <c r="C314" s="74">
        <v>612444475</v>
      </c>
      <c r="D314" s="74">
        <v>980409275</v>
      </c>
      <c r="E314" s="74">
        <v>977121609</v>
      </c>
      <c r="F314" s="74">
        <v>0</v>
      </c>
      <c r="G314" s="71">
        <f t="shared" si="15"/>
        <v>2569975359</v>
      </c>
      <c r="H314" s="60">
        <v>0</v>
      </c>
    </row>
    <row r="315" spans="1:9">
      <c r="A315" s="68" t="s">
        <v>11</v>
      </c>
      <c r="B315" s="69">
        <v>2010</v>
      </c>
      <c r="C315" s="74">
        <v>633237335</v>
      </c>
      <c r="D315" s="74">
        <v>810659609</v>
      </c>
      <c r="E315" s="74">
        <v>1186022784</v>
      </c>
      <c r="F315" s="74">
        <v>0</v>
      </c>
      <c r="G315" s="71">
        <f t="shared" si="15"/>
        <v>2629919728</v>
      </c>
      <c r="H315" s="60">
        <v>0</v>
      </c>
    </row>
    <row r="316" spans="1:9">
      <c r="A316" s="68" t="s">
        <v>11</v>
      </c>
      <c r="B316" s="69">
        <v>2011</v>
      </c>
      <c r="C316" s="74">
        <v>643574500</v>
      </c>
      <c r="D316" s="74">
        <v>883326217</v>
      </c>
      <c r="E316" s="74">
        <v>866175548.40999997</v>
      </c>
      <c r="F316" s="74">
        <v>0</v>
      </c>
      <c r="G316" s="71">
        <f t="shared" si="15"/>
        <v>2393076265.4099998</v>
      </c>
      <c r="H316" s="60">
        <v>0</v>
      </c>
    </row>
    <row r="317" spans="1:9">
      <c r="A317" s="68" t="s">
        <v>11</v>
      </c>
      <c r="B317" s="69">
        <v>2012</v>
      </c>
      <c r="C317" s="74">
        <v>673101632</v>
      </c>
      <c r="D317" s="74">
        <v>873677574</v>
      </c>
      <c r="E317" s="74">
        <v>1132254241</v>
      </c>
      <c r="F317" s="74">
        <v>0</v>
      </c>
      <c r="G317" s="71">
        <f t="shared" si="15"/>
        <v>2679033447</v>
      </c>
      <c r="H317" s="60">
        <v>0</v>
      </c>
    </row>
    <row r="318" spans="1:9">
      <c r="A318" s="68"/>
      <c r="C318" s="70"/>
      <c r="D318" s="70"/>
      <c r="E318" s="70"/>
      <c r="F318" s="70"/>
      <c r="G318" s="76"/>
      <c r="I318" s="72"/>
    </row>
    <row r="319" spans="1:9">
      <c r="A319" s="68" t="s">
        <v>12</v>
      </c>
      <c r="B319" s="69">
        <v>1988</v>
      </c>
      <c r="C319" s="70">
        <v>209218365</v>
      </c>
      <c r="D319" s="70">
        <v>202403417</v>
      </c>
      <c r="E319" s="70">
        <v>127835580</v>
      </c>
      <c r="F319" s="70">
        <v>0</v>
      </c>
      <c r="G319" s="71">
        <f>SUM(C319:F319)</f>
        <v>539457362</v>
      </c>
      <c r="H319" s="60">
        <v>0</v>
      </c>
      <c r="I319" s="72"/>
    </row>
    <row r="320" spans="1:9">
      <c r="A320" s="68" t="s">
        <v>12</v>
      </c>
      <c r="B320" s="69">
        <v>1989</v>
      </c>
      <c r="C320" s="70">
        <v>188151307</v>
      </c>
      <c r="D320" s="70">
        <v>202928400</v>
      </c>
      <c r="E320" s="70">
        <v>131191153</v>
      </c>
      <c r="F320" s="70">
        <v>0</v>
      </c>
      <c r="G320" s="71">
        <f t="shared" ref="G320:G343" si="16">SUM(C320:F320)</f>
        <v>522270860</v>
      </c>
      <c r="H320" s="60">
        <v>0</v>
      </c>
      <c r="I320" s="72"/>
    </row>
    <row r="321" spans="1:9">
      <c r="A321" s="68" t="s">
        <v>12</v>
      </c>
      <c r="B321" s="69">
        <v>1990</v>
      </c>
      <c r="C321" s="70">
        <v>231237401</v>
      </c>
      <c r="D321" s="70">
        <v>209817898.59999999</v>
      </c>
      <c r="E321" s="70">
        <v>132075566</v>
      </c>
      <c r="F321" s="70">
        <v>0</v>
      </c>
      <c r="G321" s="71">
        <f t="shared" si="16"/>
        <v>573130865.60000002</v>
      </c>
      <c r="H321" s="60">
        <v>0</v>
      </c>
      <c r="I321" s="72"/>
    </row>
    <row r="322" spans="1:9">
      <c r="A322" s="68" t="s">
        <v>12</v>
      </c>
      <c r="B322" s="69">
        <v>1991</v>
      </c>
      <c r="C322" s="70">
        <v>227915285</v>
      </c>
      <c r="D322" s="70">
        <v>215609153</v>
      </c>
      <c r="E322" s="70">
        <v>134230766</v>
      </c>
      <c r="F322" s="70">
        <v>0</v>
      </c>
      <c r="G322" s="71">
        <f t="shared" si="16"/>
        <v>577755204</v>
      </c>
      <c r="H322" s="60">
        <v>0</v>
      </c>
      <c r="I322" s="72"/>
    </row>
    <row r="323" spans="1:9">
      <c r="A323" s="68" t="s">
        <v>12</v>
      </c>
      <c r="B323" s="69">
        <v>1992</v>
      </c>
      <c r="C323" s="70">
        <v>233551360</v>
      </c>
      <c r="D323" s="70">
        <v>221813746.91999999</v>
      </c>
      <c r="E323" s="70">
        <v>140162314</v>
      </c>
      <c r="F323" s="70">
        <v>0</v>
      </c>
      <c r="G323" s="71">
        <f t="shared" si="16"/>
        <v>595527420.91999996</v>
      </c>
      <c r="H323" s="60">
        <v>0</v>
      </c>
      <c r="I323" s="72"/>
    </row>
    <row r="324" spans="1:9">
      <c r="A324" s="68" t="s">
        <v>12</v>
      </c>
      <c r="B324" s="69">
        <v>1993</v>
      </c>
      <c r="C324" s="70">
        <v>249047127</v>
      </c>
      <c r="D324" s="70">
        <v>185562498</v>
      </c>
      <c r="E324" s="70">
        <v>161754102</v>
      </c>
      <c r="F324" s="70">
        <v>0</v>
      </c>
      <c r="G324" s="71">
        <f t="shared" si="16"/>
        <v>596363727</v>
      </c>
      <c r="H324" s="60">
        <v>0</v>
      </c>
      <c r="I324" s="72"/>
    </row>
    <row r="325" spans="1:9">
      <c r="A325" s="68" t="s">
        <v>12</v>
      </c>
      <c r="B325" s="69">
        <v>1994</v>
      </c>
      <c r="C325" s="70">
        <v>264160806</v>
      </c>
      <c r="D325" s="70">
        <v>217683968</v>
      </c>
      <c r="E325" s="70">
        <v>176895710</v>
      </c>
      <c r="F325" s="70">
        <v>0</v>
      </c>
      <c r="G325" s="71">
        <f t="shared" si="16"/>
        <v>658740484</v>
      </c>
      <c r="H325" s="60">
        <v>0</v>
      </c>
      <c r="I325" s="72"/>
    </row>
    <row r="326" spans="1:9">
      <c r="A326" s="68" t="s">
        <v>12</v>
      </c>
      <c r="B326" s="69">
        <v>1995</v>
      </c>
      <c r="C326" s="70">
        <v>280977226</v>
      </c>
      <c r="D326" s="70">
        <v>218531343</v>
      </c>
      <c r="E326" s="70">
        <v>413583394</v>
      </c>
      <c r="F326" s="70">
        <v>0</v>
      </c>
      <c r="G326" s="71">
        <f t="shared" si="16"/>
        <v>913091963</v>
      </c>
      <c r="H326" s="60">
        <v>0</v>
      </c>
      <c r="I326" s="72"/>
    </row>
    <row r="327" spans="1:9">
      <c r="A327" s="68" t="s">
        <v>12</v>
      </c>
      <c r="B327" s="69">
        <v>1996</v>
      </c>
      <c r="C327" s="70">
        <v>285850570</v>
      </c>
      <c r="D327" s="70">
        <v>209367847</v>
      </c>
      <c r="E327" s="70">
        <v>701148543</v>
      </c>
      <c r="F327" s="70">
        <v>0</v>
      </c>
      <c r="G327" s="71">
        <f t="shared" si="16"/>
        <v>1196366960</v>
      </c>
      <c r="H327" s="60">
        <v>0</v>
      </c>
      <c r="I327" s="72"/>
    </row>
    <row r="328" spans="1:9">
      <c r="A328" s="68" t="s">
        <v>12</v>
      </c>
      <c r="B328" s="69">
        <v>1997</v>
      </c>
      <c r="C328" s="70">
        <v>288442487</v>
      </c>
      <c r="D328" s="70">
        <v>214100988</v>
      </c>
      <c r="E328" s="70">
        <v>692479444</v>
      </c>
      <c r="F328" s="70">
        <v>0</v>
      </c>
      <c r="G328" s="71">
        <f t="shared" si="16"/>
        <v>1195022919</v>
      </c>
      <c r="H328" s="60">
        <v>0</v>
      </c>
      <c r="I328" s="72"/>
    </row>
    <row r="329" spans="1:9">
      <c r="A329" s="68" t="s">
        <v>12</v>
      </c>
      <c r="B329" s="69">
        <v>1998</v>
      </c>
      <c r="C329" s="70">
        <v>292525566</v>
      </c>
      <c r="D329" s="70">
        <v>234439692</v>
      </c>
      <c r="E329" s="70">
        <v>723378162</v>
      </c>
      <c r="F329" s="70">
        <v>0</v>
      </c>
      <c r="G329" s="71">
        <f t="shared" si="16"/>
        <v>1250343420</v>
      </c>
      <c r="H329" s="60">
        <v>0</v>
      </c>
      <c r="I329" s="72"/>
    </row>
    <row r="330" spans="1:9">
      <c r="A330" s="68" t="s">
        <v>12</v>
      </c>
      <c r="B330" s="69">
        <v>1999</v>
      </c>
      <c r="C330" s="70">
        <v>286845096</v>
      </c>
      <c r="D330" s="70">
        <v>278075266</v>
      </c>
      <c r="E330" s="70">
        <v>808352623</v>
      </c>
      <c r="F330" s="70">
        <v>0</v>
      </c>
      <c r="G330" s="71">
        <f t="shared" si="16"/>
        <v>1373272985</v>
      </c>
      <c r="H330" s="60">
        <v>0</v>
      </c>
      <c r="I330" s="72"/>
    </row>
    <row r="331" spans="1:9">
      <c r="A331" s="68" t="s">
        <v>12</v>
      </c>
      <c r="B331" s="69">
        <v>2000</v>
      </c>
      <c r="C331" s="70">
        <v>305108271</v>
      </c>
      <c r="D331" s="70">
        <v>317256120</v>
      </c>
      <c r="E331" s="70">
        <v>979520802</v>
      </c>
      <c r="F331" s="70">
        <v>0</v>
      </c>
      <c r="G331" s="71">
        <f t="shared" si="16"/>
        <v>1601885193</v>
      </c>
      <c r="H331" s="60">
        <v>0</v>
      </c>
      <c r="I331" s="72"/>
    </row>
    <row r="332" spans="1:9">
      <c r="A332" s="68" t="s">
        <v>12</v>
      </c>
      <c r="B332" s="69">
        <v>2001</v>
      </c>
      <c r="C332" s="70">
        <v>314931002</v>
      </c>
      <c r="D332" s="70">
        <v>369758027</v>
      </c>
      <c r="E332" s="70">
        <v>1045803684</v>
      </c>
      <c r="F332" s="70">
        <v>0</v>
      </c>
      <c r="G332" s="71">
        <f t="shared" si="16"/>
        <v>1730492713</v>
      </c>
      <c r="H332" s="60">
        <v>0</v>
      </c>
      <c r="I332" s="72"/>
    </row>
    <row r="333" spans="1:9">
      <c r="A333" s="68" t="s">
        <v>12</v>
      </c>
      <c r="B333" s="69">
        <v>2002</v>
      </c>
      <c r="C333" s="70">
        <v>316049014</v>
      </c>
      <c r="D333" s="70">
        <v>532399255</v>
      </c>
      <c r="E333" s="70">
        <v>1152783294</v>
      </c>
      <c r="F333" s="70">
        <v>0</v>
      </c>
      <c r="G333" s="71">
        <f t="shared" si="16"/>
        <v>2001231563</v>
      </c>
      <c r="H333" s="60">
        <v>0</v>
      </c>
      <c r="I333" s="72"/>
    </row>
    <row r="334" spans="1:9">
      <c r="A334" s="68" t="s">
        <v>12</v>
      </c>
      <c r="B334" s="69">
        <v>2003</v>
      </c>
      <c r="C334" s="73">
        <v>338447654</v>
      </c>
      <c r="D334" s="73">
        <v>493198114</v>
      </c>
      <c r="E334" s="73">
        <v>1275933536</v>
      </c>
      <c r="F334" s="70">
        <v>0</v>
      </c>
      <c r="G334" s="71">
        <f t="shared" si="16"/>
        <v>2107579304</v>
      </c>
      <c r="H334" s="60">
        <v>0</v>
      </c>
      <c r="I334" s="72"/>
    </row>
    <row r="335" spans="1:9">
      <c r="A335" s="68" t="s">
        <v>12</v>
      </c>
      <c r="B335" s="69">
        <v>2004</v>
      </c>
      <c r="C335" s="73">
        <v>346977476</v>
      </c>
      <c r="D335" s="73">
        <v>477691623</v>
      </c>
      <c r="E335" s="73">
        <v>1380118307</v>
      </c>
      <c r="F335" s="70">
        <v>0</v>
      </c>
      <c r="G335" s="71">
        <f t="shared" si="16"/>
        <v>2204787406</v>
      </c>
      <c r="H335" s="60">
        <v>0</v>
      </c>
    </row>
    <row r="336" spans="1:9">
      <c r="A336" s="68" t="s">
        <v>12</v>
      </c>
      <c r="B336" s="69">
        <v>2005</v>
      </c>
      <c r="C336" s="73">
        <v>360890133</v>
      </c>
      <c r="D336" s="73">
        <v>519455789</v>
      </c>
      <c r="E336" s="73">
        <v>1410076974.27</v>
      </c>
      <c r="F336" s="70">
        <v>0</v>
      </c>
      <c r="G336" s="71">
        <f t="shared" si="16"/>
        <v>2290422896.27</v>
      </c>
      <c r="H336" s="60">
        <v>0</v>
      </c>
    </row>
    <row r="337" spans="1:9">
      <c r="A337" s="68" t="s">
        <v>12</v>
      </c>
      <c r="B337" s="69">
        <v>2006</v>
      </c>
      <c r="C337" s="74">
        <v>393545884</v>
      </c>
      <c r="D337" s="74">
        <v>568866865</v>
      </c>
      <c r="E337" s="74">
        <v>1582104957</v>
      </c>
      <c r="F337" s="74">
        <v>0</v>
      </c>
      <c r="G337" s="71">
        <f t="shared" si="16"/>
        <v>2544517706</v>
      </c>
      <c r="H337" s="60">
        <v>0</v>
      </c>
    </row>
    <row r="338" spans="1:9">
      <c r="A338" s="68" t="s">
        <v>12</v>
      </c>
      <c r="B338" s="69">
        <v>2007</v>
      </c>
      <c r="C338" s="74">
        <v>408458502</v>
      </c>
      <c r="D338" s="74">
        <v>458571123</v>
      </c>
      <c r="E338" s="74">
        <v>1758385374</v>
      </c>
      <c r="F338" s="74">
        <v>0</v>
      </c>
      <c r="G338" s="71">
        <f t="shared" si="16"/>
        <v>2625414999</v>
      </c>
      <c r="H338" s="60">
        <v>0</v>
      </c>
    </row>
    <row r="339" spans="1:9">
      <c r="A339" s="68" t="s">
        <v>12</v>
      </c>
      <c r="B339" s="69">
        <v>2008</v>
      </c>
      <c r="C339" s="74">
        <v>417886894</v>
      </c>
      <c r="D339" s="74">
        <v>600625736</v>
      </c>
      <c r="E339" s="74">
        <v>1908888744</v>
      </c>
      <c r="F339" s="74">
        <v>0</v>
      </c>
      <c r="G339" s="71">
        <f t="shared" si="16"/>
        <v>2927401374</v>
      </c>
      <c r="H339" s="60">
        <v>0</v>
      </c>
    </row>
    <row r="340" spans="1:9">
      <c r="A340" s="68" t="s">
        <v>12</v>
      </c>
      <c r="B340" s="69">
        <v>2009</v>
      </c>
      <c r="C340" s="74">
        <v>452639962</v>
      </c>
      <c r="D340" s="74">
        <v>632743888</v>
      </c>
      <c r="E340" s="74">
        <v>2109951242</v>
      </c>
      <c r="F340" s="74">
        <v>0</v>
      </c>
      <c r="G340" s="71">
        <f t="shared" si="16"/>
        <v>3195335092</v>
      </c>
      <c r="H340" s="60">
        <v>0</v>
      </c>
    </row>
    <row r="341" spans="1:9">
      <c r="A341" s="68" t="s">
        <v>12</v>
      </c>
      <c r="B341" s="69">
        <v>2010</v>
      </c>
      <c r="C341" s="74">
        <v>471480159</v>
      </c>
      <c r="D341" s="74">
        <v>562603618</v>
      </c>
      <c r="E341" s="74">
        <v>1856258256</v>
      </c>
      <c r="F341" s="74">
        <v>0</v>
      </c>
      <c r="G341" s="71">
        <f t="shared" si="16"/>
        <v>2890342033</v>
      </c>
      <c r="H341" s="60">
        <v>0</v>
      </c>
    </row>
    <row r="342" spans="1:9">
      <c r="A342" s="68" t="s">
        <v>12</v>
      </c>
      <c r="B342" s="69">
        <v>2011</v>
      </c>
      <c r="C342" s="74">
        <v>479146732</v>
      </c>
      <c r="D342" s="74">
        <v>619816840</v>
      </c>
      <c r="E342" s="74">
        <v>1885326272.6900001</v>
      </c>
      <c r="F342" s="74">
        <v>0</v>
      </c>
      <c r="G342" s="71">
        <f t="shared" si="16"/>
        <v>2984289844.6900001</v>
      </c>
      <c r="H342" s="60">
        <v>0</v>
      </c>
    </row>
    <row r="343" spans="1:9">
      <c r="A343" s="68" t="s">
        <v>12</v>
      </c>
      <c r="B343" s="69">
        <v>2012</v>
      </c>
      <c r="C343" s="74">
        <v>485889296</v>
      </c>
      <c r="D343" s="74">
        <v>570440270</v>
      </c>
      <c r="E343" s="74">
        <v>1804463005</v>
      </c>
      <c r="F343" s="74">
        <v>0</v>
      </c>
      <c r="G343" s="71">
        <f t="shared" si="16"/>
        <v>2860792571</v>
      </c>
      <c r="H343" s="60">
        <v>0</v>
      </c>
    </row>
    <row r="344" spans="1:9">
      <c r="A344" s="68"/>
      <c r="C344" s="70"/>
      <c r="D344" s="70"/>
      <c r="E344" s="70"/>
      <c r="F344" s="70"/>
      <c r="G344" s="76"/>
      <c r="I344" s="72"/>
    </row>
    <row r="345" spans="1:9">
      <c r="A345" s="68" t="s">
        <v>13</v>
      </c>
      <c r="B345" s="69">
        <v>1988</v>
      </c>
      <c r="C345" s="70">
        <v>2916560905</v>
      </c>
      <c r="D345" s="70">
        <v>2858069425</v>
      </c>
      <c r="E345" s="70">
        <v>4014954929</v>
      </c>
      <c r="F345" s="70">
        <v>2266160590</v>
      </c>
      <c r="G345" s="71">
        <f>SUM(C345:F345)</f>
        <v>12055745849</v>
      </c>
      <c r="H345" s="60">
        <v>0</v>
      </c>
      <c r="I345" s="72"/>
    </row>
    <row r="346" spans="1:9">
      <c r="A346" s="68" t="s">
        <v>13</v>
      </c>
      <c r="B346" s="69">
        <v>1989</v>
      </c>
      <c r="C346" s="70">
        <v>2700553206</v>
      </c>
      <c r="D346" s="70">
        <v>2674346269</v>
      </c>
      <c r="E346" s="70">
        <v>4301382157</v>
      </c>
      <c r="F346" s="70">
        <v>2493039004</v>
      </c>
      <c r="G346" s="71">
        <f t="shared" ref="G346:G369" si="17">SUM(C346:F346)</f>
        <v>12169320636</v>
      </c>
      <c r="H346" s="60">
        <v>0</v>
      </c>
      <c r="I346" s="72"/>
    </row>
    <row r="347" spans="1:9">
      <c r="A347" s="68" t="s">
        <v>13</v>
      </c>
      <c r="B347" s="69">
        <v>1990</v>
      </c>
      <c r="C347" s="70">
        <v>3209665412</v>
      </c>
      <c r="D347" s="70">
        <v>3309153971.7600002</v>
      </c>
      <c r="E347" s="70">
        <v>4650013014</v>
      </c>
      <c r="F347" s="70">
        <v>2299751811</v>
      </c>
      <c r="G347" s="71">
        <f t="shared" si="17"/>
        <v>13468584208.76</v>
      </c>
      <c r="H347" s="60">
        <v>0</v>
      </c>
      <c r="I347" s="72"/>
    </row>
    <row r="348" spans="1:9">
      <c r="A348" s="68" t="s">
        <v>13</v>
      </c>
      <c r="B348" s="69">
        <v>1991</v>
      </c>
      <c r="C348" s="70">
        <v>3240873981</v>
      </c>
      <c r="D348" s="70">
        <v>2568263110</v>
      </c>
      <c r="E348" s="70">
        <v>4989068321</v>
      </c>
      <c r="F348" s="70">
        <v>2543478586</v>
      </c>
      <c r="G348" s="71">
        <f t="shared" si="17"/>
        <v>13341683998</v>
      </c>
      <c r="H348" s="60">
        <v>0</v>
      </c>
      <c r="I348" s="72"/>
    </row>
    <row r="349" spans="1:9">
      <c r="A349" s="68" t="s">
        <v>13</v>
      </c>
      <c r="B349" s="69">
        <v>1992</v>
      </c>
      <c r="C349" s="70">
        <v>3525611739</v>
      </c>
      <c r="D349" s="70">
        <v>3080341168.0799999</v>
      </c>
      <c r="E349" s="70">
        <v>5267388215</v>
      </c>
      <c r="F349" s="70">
        <v>1796618481</v>
      </c>
      <c r="G349" s="71">
        <f t="shared" si="17"/>
        <v>13669959603.08</v>
      </c>
      <c r="H349" s="60">
        <v>0</v>
      </c>
      <c r="I349" s="72"/>
    </row>
    <row r="350" spans="1:9">
      <c r="A350" s="68" t="s">
        <v>13</v>
      </c>
      <c r="B350" s="69">
        <v>1993</v>
      </c>
      <c r="C350" s="70">
        <v>3755748488</v>
      </c>
      <c r="D350" s="70">
        <v>2536677405</v>
      </c>
      <c r="E350" s="70">
        <v>5499260017</v>
      </c>
      <c r="F350" s="70">
        <v>1717591047</v>
      </c>
      <c r="G350" s="71">
        <f t="shared" si="17"/>
        <v>13509276957</v>
      </c>
      <c r="H350" s="60">
        <v>0</v>
      </c>
      <c r="I350" s="72"/>
    </row>
    <row r="351" spans="1:9">
      <c r="A351" s="68" t="s">
        <v>13</v>
      </c>
      <c r="B351" s="69">
        <v>1994</v>
      </c>
      <c r="C351" s="70">
        <v>3916038976</v>
      </c>
      <c r="D351" s="70">
        <v>3318561672</v>
      </c>
      <c r="E351" s="70">
        <v>5453615449</v>
      </c>
      <c r="F351" s="70">
        <v>1316602994</v>
      </c>
      <c r="G351" s="71">
        <f t="shared" si="17"/>
        <v>14004819091</v>
      </c>
      <c r="H351" s="60">
        <v>0</v>
      </c>
      <c r="I351" s="72"/>
    </row>
    <row r="352" spans="1:9">
      <c r="A352" s="68" t="s">
        <v>13</v>
      </c>
      <c r="B352" s="69">
        <v>1995</v>
      </c>
      <c r="C352" s="70">
        <v>4365262226</v>
      </c>
      <c r="D352" s="70">
        <v>3452409881</v>
      </c>
      <c r="E352" s="70">
        <v>5615584047</v>
      </c>
      <c r="F352" s="70">
        <v>1539192171</v>
      </c>
      <c r="G352" s="71">
        <f t="shared" si="17"/>
        <v>14972448325</v>
      </c>
      <c r="H352" s="60">
        <v>0</v>
      </c>
      <c r="I352" s="72"/>
    </row>
    <row r="353" spans="1:9">
      <c r="A353" s="68" t="s">
        <v>13</v>
      </c>
      <c r="B353" s="69">
        <v>1996</v>
      </c>
      <c r="C353" s="70">
        <v>4193919982</v>
      </c>
      <c r="D353" s="70">
        <v>3047390248</v>
      </c>
      <c r="E353" s="70">
        <v>8035409502</v>
      </c>
      <c r="F353" s="70">
        <v>1253094239</v>
      </c>
      <c r="G353" s="71">
        <f t="shared" si="17"/>
        <v>16529813971</v>
      </c>
      <c r="H353" s="60">
        <v>0</v>
      </c>
      <c r="I353" s="72"/>
    </row>
    <row r="354" spans="1:9">
      <c r="A354" s="68" t="s">
        <v>13</v>
      </c>
      <c r="B354" s="69">
        <v>1997</v>
      </c>
      <c r="C354" s="70">
        <v>4031393590</v>
      </c>
      <c r="D354" s="70">
        <v>3440298209</v>
      </c>
      <c r="E354" s="70">
        <v>8576360365</v>
      </c>
      <c r="F354" s="70">
        <v>1495483035</v>
      </c>
      <c r="G354" s="71">
        <f t="shared" si="17"/>
        <v>17543535199</v>
      </c>
      <c r="H354" s="60">
        <v>0</v>
      </c>
      <c r="I354" s="72"/>
    </row>
    <row r="355" spans="1:9">
      <c r="A355" s="68" t="s">
        <v>13</v>
      </c>
      <c r="B355" s="69">
        <v>1998</v>
      </c>
      <c r="C355" s="70">
        <v>4228395655</v>
      </c>
      <c r="D355" s="70">
        <v>2962927663</v>
      </c>
      <c r="E355" s="70">
        <v>9508753259</v>
      </c>
      <c r="F355" s="70">
        <v>1044210217</v>
      </c>
      <c r="G355" s="71">
        <f t="shared" si="17"/>
        <v>17744286794</v>
      </c>
      <c r="H355" s="60">
        <v>0</v>
      </c>
      <c r="I355" s="72"/>
    </row>
    <row r="356" spans="1:9">
      <c r="A356" s="68" t="s">
        <v>13</v>
      </c>
      <c r="B356" s="69">
        <v>1999</v>
      </c>
      <c r="C356" s="70">
        <v>4023964010</v>
      </c>
      <c r="D356" s="70">
        <v>4996875602</v>
      </c>
      <c r="E356" s="70">
        <v>10594243637</v>
      </c>
      <c r="F356" s="70">
        <v>1238480879</v>
      </c>
      <c r="G356" s="71">
        <f t="shared" si="17"/>
        <v>20853564128</v>
      </c>
      <c r="H356" s="60">
        <v>0</v>
      </c>
      <c r="I356" s="72"/>
    </row>
    <row r="357" spans="1:9">
      <c r="A357" s="68" t="s">
        <v>13</v>
      </c>
      <c r="B357" s="69">
        <v>2000</v>
      </c>
      <c r="C357" s="70">
        <v>4303930262</v>
      </c>
      <c r="D357" s="70">
        <v>4719150120</v>
      </c>
      <c r="E357" s="70">
        <v>12331631713</v>
      </c>
      <c r="F357" s="70">
        <v>873020430</v>
      </c>
      <c r="G357" s="71">
        <f t="shared" si="17"/>
        <v>22227732525</v>
      </c>
      <c r="H357" s="60">
        <v>0</v>
      </c>
      <c r="I357" s="72"/>
    </row>
    <row r="358" spans="1:9">
      <c r="A358" s="68" t="s">
        <v>13</v>
      </c>
      <c r="B358" s="69">
        <v>2001</v>
      </c>
      <c r="C358" s="70">
        <v>4259788621</v>
      </c>
      <c r="D358" s="70">
        <v>6623766294.5100002</v>
      </c>
      <c r="E358" s="70">
        <v>8446525377</v>
      </c>
      <c r="F358" s="70">
        <v>1124798276</v>
      </c>
      <c r="G358" s="71">
        <f t="shared" si="17"/>
        <v>20454878568.510002</v>
      </c>
      <c r="H358" s="60">
        <v>0</v>
      </c>
      <c r="I358" s="72"/>
    </row>
    <row r="359" spans="1:9">
      <c r="A359" s="68" t="s">
        <v>13</v>
      </c>
      <c r="B359" s="69">
        <v>2002</v>
      </c>
      <c r="C359" s="70">
        <v>4474638586</v>
      </c>
      <c r="D359" s="70">
        <v>6954435404</v>
      </c>
      <c r="E359" s="70">
        <v>9157386286</v>
      </c>
      <c r="F359" s="70">
        <v>1081899396</v>
      </c>
      <c r="G359" s="71">
        <f t="shared" si="17"/>
        <v>21668359672</v>
      </c>
      <c r="H359" s="60">
        <v>0</v>
      </c>
      <c r="I359" s="72"/>
    </row>
    <row r="360" spans="1:9">
      <c r="A360" s="68" t="s">
        <v>13</v>
      </c>
      <c r="B360" s="69">
        <v>2003</v>
      </c>
      <c r="C360" s="73">
        <v>4787263262</v>
      </c>
      <c r="D360" s="73">
        <v>5971977804</v>
      </c>
      <c r="E360" s="73">
        <v>9991773730</v>
      </c>
      <c r="F360" s="73">
        <v>1031390728</v>
      </c>
      <c r="G360" s="71">
        <f t="shared" si="17"/>
        <v>21782405524</v>
      </c>
      <c r="H360" s="60">
        <v>0</v>
      </c>
      <c r="I360" s="72"/>
    </row>
    <row r="361" spans="1:9">
      <c r="A361" s="68" t="s">
        <v>13</v>
      </c>
      <c r="B361" s="69">
        <v>2004</v>
      </c>
      <c r="C361" s="73">
        <v>4905589261</v>
      </c>
      <c r="D361" s="73">
        <v>5074168432</v>
      </c>
      <c r="E361" s="73">
        <v>10062257016</v>
      </c>
      <c r="F361" s="73">
        <v>964060683</v>
      </c>
      <c r="G361" s="71">
        <f t="shared" si="17"/>
        <v>21006075392</v>
      </c>
      <c r="H361" s="60">
        <v>0</v>
      </c>
    </row>
    <row r="362" spans="1:9">
      <c r="A362" s="68" t="s">
        <v>13</v>
      </c>
      <c r="B362" s="69">
        <v>2005</v>
      </c>
      <c r="C362" s="73">
        <v>5005951330</v>
      </c>
      <c r="D362" s="73">
        <v>4504335031</v>
      </c>
      <c r="E362" s="73">
        <v>13031388654.58</v>
      </c>
      <c r="F362" s="73">
        <v>1117236715</v>
      </c>
      <c r="G362" s="71">
        <f t="shared" si="17"/>
        <v>23658911730.580002</v>
      </c>
      <c r="H362" s="60">
        <v>0</v>
      </c>
    </row>
    <row r="363" spans="1:9">
      <c r="A363" s="68" t="s">
        <v>13</v>
      </c>
      <c r="B363" s="69">
        <v>2006</v>
      </c>
      <c r="C363" s="74">
        <v>5155599424</v>
      </c>
      <c r="D363" s="74">
        <v>5270569478</v>
      </c>
      <c r="E363" s="74">
        <v>14030574109</v>
      </c>
      <c r="F363" s="74">
        <v>1136037828</v>
      </c>
      <c r="G363" s="71">
        <f t="shared" si="17"/>
        <v>25592780839</v>
      </c>
      <c r="H363" s="60">
        <v>0</v>
      </c>
    </row>
    <row r="364" spans="1:9">
      <c r="A364" s="68" t="s">
        <v>13</v>
      </c>
      <c r="B364" s="69">
        <v>2007</v>
      </c>
      <c r="C364" s="74">
        <v>5254987425</v>
      </c>
      <c r="D364" s="74">
        <v>4904298341</v>
      </c>
      <c r="E364" s="74">
        <v>15154486923</v>
      </c>
      <c r="F364" s="74">
        <v>973891717</v>
      </c>
      <c r="G364" s="71">
        <f t="shared" si="17"/>
        <v>26287664406</v>
      </c>
      <c r="H364" s="60">
        <v>0</v>
      </c>
    </row>
    <row r="365" spans="1:9">
      <c r="A365" s="68" t="s">
        <v>13</v>
      </c>
      <c r="B365" s="69">
        <v>2008</v>
      </c>
      <c r="C365" s="74">
        <v>5313073725</v>
      </c>
      <c r="D365" s="74">
        <v>6343390548</v>
      </c>
      <c r="E365" s="74">
        <v>15801869753</v>
      </c>
      <c r="F365" s="74">
        <v>1219036294</v>
      </c>
      <c r="G365" s="71">
        <f t="shared" si="17"/>
        <v>28677370320</v>
      </c>
      <c r="H365" s="60">
        <v>0</v>
      </c>
    </row>
    <row r="366" spans="1:9">
      <c r="A366" s="68" t="s">
        <v>13</v>
      </c>
      <c r="B366" s="69">
        <v>2009</v>
      </c>
      <c r="C366" s="74">
        <v>5484099027</v>
      </c>
      <c r="D366" s="74">
        <v>6296720471</v>
      </c>
      <c r="E366" s="74">
        <v>16489255645</v>
      </c>
      <c r="F366" s="74">
        <v>1053662996</v>
      </c>
      <c r="G366" s="71">
        <f t="shared" si="17"/>
        <v>29323738139</v>
      </c>
      <c r="H366" s="60">
        <v>0</v>
      </c>
    </row>
    <row r="367" spans="1:9">
      <c r="A367" s="68" t="s">
        <v>13</v>
      </c>
      <c r="B367" s="69">
        <v>2010</v>
      </c>
      <c r="C367" s="74">
        <v>5726519796</v>
      </c>
      <c r="D367" s="74">
        <v>5652279187</v>
      </c>
      <c r="E367" s="74">
        <v>13645446481</v>
      </c>
      <c r="F367" s="74">
        <v>189789382</v>
      </c>
      <c r="G367" s="71">
        <f t="shared" si="17"/>
        <v>25214034846</v>
      </c>
      <c r="H367" s="60">
        <v>81202522</v>
      </c>
      <c r="I367" s="60" t="s">
        <v>402</v>
      </c>
    </row>
    <row r="368" spans="1:9">
      <c r="A368" s="68" t="s">
        <v>13</v>
      </c>
      <c r="B368" s="69">
        <v>2011</v>
      </c>
      <c r="C368" s="74">
        <v>5747113843</v>
      </c>
      <c r="D368" s="74">
        <v>5672457385</v>
      </c>
      <c r="E368" s="74">
        <v>14094886109</v>
      </c>
      <c r="F368" s="74">
        <v>243715097</v>
      </c>
      <c r="G368" s="71">
        <f t="shared" si="17"/>
        <v>25758172434</v>
      </c>
      <c r="H368" s="60">
        <v>67640516</v>
      </c>
      <c r="I368" s="60" t="s">
        <v>402</v>
      </c>
    </row>
    <row r="369" spans="1:9">
      <c r="A369" s="68" t="s">
        <v>13</v>
      </c>
      <c r="B369" s="69">
        <v>2012</v>
      </c>
      <c r="C369" s="74">
        <v>6042854505</v>
      </c>
      <c r="D369" s="74">
        <v>5979950953</v>
      </c>
      <c r="E369" s="74">
        <v>13455976512</v>
      </c>
      <c r="F369" s="74">
        <v>412561558</v>
      </c>
      <c r="G369" s="71">
        <f t="shared" si="17"/>
        <v>25891343528</v>
      </c>
      <c r="H369" s="60">
        <v>77834858</v>
      </c>
      <c r="I369" s="60" t="s">
        <v>402</v>
      </c>
    </row>
    <row r="370" spans="1:9">
      <c r="A370" s="68"/>
      <c r="C370" s="70"/>
      <c r="D370" s="70"/>
      <c r="E370" s="70"/>
      <c r="F370" s="70"/>
      <c r="G370" s="76"/>
      <c r="I370" s="72"/>
    </row>
    <row r="371" spans="1:9">
      <c r="A371" s="68" t="s">
        <v>14</v>
      </c>
      <c r="B371" s="69">
        <v>1988</v>
      </c>
      <c r="C371" s="70">
        <v>1231294327</v>
      </c>
      <c r="D371" s="70">
        <v>999914339</v>
      </c>
      <c r="E371" s="70">
        <v>2348784694</v>
      </c>
      <c r="F371" s="70">
        <v>447992113</v>
      </c>
      <c r="G371" s="71">
        <f>SUM(C371:F371)</f>
        <v>5027985473</v>
      </c>
      <c r="H371" s="60">
        <v>0</v>
      </c>
      <c r="I371" s="72"/>
    </row>
    <row r="372" spans="1:9">
      <c r="A372" s="68" t="s">
        <v>14</v>
      </c>
      <c r="B372" s="69">
        <v>1989</v>
      </c>
      <c r="C372" s="70">
        <v>1181374662</v>
      </c>
      <c r="D372" s="70">
        <v>1111333190</v>
      </c>
      <c r="E372" s="70">
        <v>2168983793</v>
      </c>
      <c r="F372" s="70">
        <v>497481224</v>
      </c>
      <c r="G372" s="71">
        <f t="shared" ref="G372:G395" si="18">SUM(C372:F372)</f>
        <v>4959172869</v>
      </c>
      <c r="H372" s="60">
        <v>0</v>
      </c>
      <c r="I372" s="72"/>
    </row>
    <row r="373" spans="1:9">
      <c r="A373" s="68" t="s">
        <v>14</v>
      </c>
      <c r="B373" s="69">
        <v>1990</v>
      </c>
      <c r="C373" s="70">
        <v>1396295793</v>
      </c>
      <c r="D373" s="70">
        <v>1042759123.04</v>
      </c>
      <c r="E373" s="70">
        <v>2311773993</v>
      </c>
      <c r="F373" s="70">
        <v>428237312</v>
      </c>
      <c r="G373" s="71">
        <f t="shared" si="18"/>
        <v>5179066221.04</v>
      </c>
      <c r="H373" s="60">
        <v>0</v>
      </c>
      <c r="I373" s="72"/>
    </row>
    <row r="374" spans="1:9">
      <c r="A374" s="68" t="s">
        <v>14</v>
      </c>
      <c r="B374" s="69">
        <v>1991</v>
      </c>
      <c r="C374" s="70">
        <v>1388097147</v>
      </c>
      <c r="D374" s="70">
        <v>986945655</v>
      </c>
      <c r="E374" s="70">
        <v>2331465830</v>
      </c>
      <c r="F374" s="70">
        <v>585284957</v>
      </c>
      <c r="G374" s="71">
        <f t="shared" si="18"/>
        <v>5291793589</v>
      </c>
      <c r="H374" s="60">
        <v>0</v>
      </c>
      <c r="I374" s="72"/>
    </row>
    <row r="375" spans="1:9">
      <c r="A375" s="68" t="s">
        <v>14</v>
      </c>
      <c r="B375" s="69">
        <v>1992</v>
      </c>
      <c r="C375" s="70">
        <v>1433697023</v>
      </c>
      <c r="D375" s="70">
        <v>1198789437.2</v>
      </c>
      <c r="E375" s="70">
        <v>2468301295</v>
      </c>
      <c r="F375" s="70">
        <v>612775366</v>
      </c>
      <c r="G375" s="71">
        <f t="shared" si="18"/>
        <v>5713563121.1999998</v>
      </c>
      <c r="H375" s="60">
        <v>0</v>
      </c>
      <c r="I375" s="72"/>
    </row>
    <row r="376" spans="1:9">
      <c r="A376" s="68" t="s">
        <v>14</v>
      </c>
      <c r="B376" s="69">
        <v>1993</v>
      </c>
      <c r="C376" s="70">
        <v>1715050080</v>
      </c>
      <c r="D376" s="70">
        <v>1116563807</v>
      </c>
      <c r="E376" s="70">
        <v>2510014270</v>
      </c>
      <c r="F376" s="70">
        <v>461657848</v>
      </c>
      <c r="G376" s="71">
        <f t="shared" si="18"/>
        <v>5803286005</v>
      </c>
      <c r="H376" s="60">
        <v>0</v>
      </c>
      <c r="I376" s="72"/>
    </row>
    <row r="377" spans="1:9">
      <c r="A377" s="68" t="s">
        <v>14</v>
      </c>
      <c r="B377" s="69">
        <v>1994</v>
      </c>
      <c r="C377" s="70">
        <v>1715383678</v>
      </c>
      <c r="D377" s="70">
        <v>1311306571</v>
      </c>
      <c r="E377" s="70">
        <v>2495742336</v>
      </c>
      <c r="F377" s="70">
        <v>389491884</v>
      </c>
      <c r="G377" s="71">
        <f t="shared" si="18"/>
        <v>5911924469</v>
      </c>
      <c r="H377" s="60">
        <v>0</v>
      </c>
      <c r="I377" s="72"/>
    </row>
    <row r="378" spans="1:9">
      <c r="A378" s="68" t="s">
        <v>14</v>
      </c>
      <c r="B378" s="69">
        <v>1995</v>
      </c>
      <c r="C378" s="70">
        <v>1813993181</v>
      </c>
      <c r="D378" s="70">
        <v>1512798957</v>
      </c>
      <c r="E378" s="70">
        <v>2542117119</v>
      </c>
      <c r="F378" s="70">
        <v>193611050</v>
      </c>
      <c r="G378" s="71">
        <f t="shared" si="18"/>
        <v>6062520307</v>
      </c>
      <c r="H378" s="60">
        <v>0</v>
      </c>
      <c r="I378" s="72"/>
    </row>
    <row r="379" spans="1:9">
      <c r="A379" s="68" t="s">
        <v>14</v>
      </c>
      <c r="B379" s="69">
        <v>1996</v>
      </c>
      <c r="C379" s="70">
        <v>1773426561</v>
      </c>
      <c r="D379" s="70">
        <v>1251211124</v>
      </c>
      <c r="E379" s="70">
        <v>2635099953</v>
      </c>
      <c r="F379" s="70">
        <v>123421523</v>
      </c>
      <c r="G379" s="71">
        <f t="shared" si="18"/>
        <v>5783159161</v>
      </c>
      <c r="H379" s="60">
        <v>0</v>
      </c>
      <c r="I379" s="72"/>
    </row>
    <row r="380" spans="1:9">
      <c r="A380" s="68" t="s">
        <v>14</v>
      </c>
      <c r="B380" s="69">
        <v>1997</v>
      </c>
      <c r="C380" s="70">
        <v>1830350893</v>
      </c>
      <c r="D380" s="70">
        <v>1317469268</v>
      </c>
      <c r="E380" s="70">
        <v>2832331407</v>
      </c>
      <c r="F380" s="70">
        <v>131511457</v>
      </c>
      <c r="G380" s="71">
        <f t="shared" si="18"/>
        <v>6111663025</v>
      </c>
      <c r="H380" s="60">
        <v>0</v>
      </c>
      <c r="I380" s="72"/>
    </row>
    <row r="381" spans="1:9">
      <c r="A381" s="68" t="s">
        <v>14</v>
      </c>
      <c r="B381" s="69">
        <v>1998</v>
      </c>
      <c r="C381" s="70">
        <v>1757241340</v>
      </c>
      <c r="D381" s="70">
        <v>1220705894</v>
      </c>
      <c r="E381" s="70">
        <v>2935832776</v>
      </c>
      <c r="F381" s="70">
        <v>120043488</v>
      </c>
      <c r="G381" s="71">
        <f t="shared" si="18"/>
        <v>6033823498</v>
      </c>
      <c r="H381" s="60">
        <v>0</v>
      </c>
      <c r="I381" s="72"/>
    </row>
    <row r="382" spans="1:9">
      <c r="A382" s="68" t="s">
        <v>14</v>
      </c>
      <c r="B382" s="69">
        <v>1999</v>
      </c>
      <c r="C382" s="70">
        <v>1778572036</v>
      </c>
      <c r="D382" s="70">
        <v>1590465827</v>
      </c>
      <c r="E382" s="70">
        <v>3126225781</v>
      </c>
      <c r="F382" s="70">
        <v>215832984</v>
      </c>
      <c r="G382" s="71">
        <f t="shared" si="18"/>
        <v>6711096628</v>
      </c>
      <c r="H382" s="60">
        <v>0</v>
      </c>
      <c r="I382" s="72"/>
    </row>
    <row r="383" spans="1:9">
      <c r="A383" s="68" t="s">
        <v>14</v>
      </c>
      <c r="B383" s="69">
        <v>2000</v>
      </c>
      <c r="C383" s="70">
        <v>2016183088</v>
      </c>
      <c r="D383" s="70">
        <v>1661089201</v>
      </c>
      <c r="E383" s="70">
        <v>3320183808</v>
      </c>
      <c r="F383" s="70">
        <v>280425402</v>
      </c>
      <c r="G383" s="71">
        <f t="shared" si="18"/>
        <v>7277881499</v>
      </c>
      <c r="H383" s="60">
        <v>0</v>
      </c>
      <c r="I383" s="72"/>
    </row>
    <row r="384" spans="1:9">
      <c r="A384" s="68" t="s">
        <v>14</v>
      </c>
      <c r="B384" s="69">
        <v>2001</v>
      </c>
      <c r="C384" s="70">
        <v>1754757434</v>
      </c>
      <c r="D384" s="70">
        <v>2404069919</v>
      </c>
      <c r="E384" s="70">
        <v>3594907640</v>
      </c>
      <c r="F384" s="70">
        <v>173930451</v>
      </c>
      <c r="G384" s="71">
        <f t="shared" si="18"/>
        <v>7927665444</v>
      </c>
      <c r="H384" s="60">
        <v>0</v>
      </c>
      <c r="I384" s="72"/>
    </row>
    <row r="385" spans="1:9">
      <c r="A385" s="68" t="s">
        <v>14</v>
      </c>
      <c r="B385" s="69">
        <v>2002</v>
      </c>
      <c r="C385" s="70">
        <v>1801940643</v>
      </c>
      <c r="D385" s="70">
        <v>3287734605</v>
      </c>
      <c r="E385" s="70">
        <v>3681040208</v>
      </c>
      <c r="F385" s="70">
        <v>193303773</v>
      </c>
      <c r="G385" s="71">
        <f t="shared" si="18"/>
        <v>8964019229</v>
      </c>
      <c r="H385" s="60">
        <v>0</v>
      </c>
      <c r="I385" s="72"/>
    </row>
    <row r="386" spans="1:9">
      <c r="A386" s="68" t="s">
        <v>14</v>
      </c>
      <c r="B386" s="69">
        <v>2003</v>
      </c>
      <c r="C386" s="73">
        <v>1883728661</v>
      </c>
      <c r="D386" s="73">
        <v>2814033507</v>
      </c>
      <c r="E386" s="73">
        <v>3870295263</v>
      </c>
      <c r="F386" s="73">
        <v>239331595</v>
      </c>
      <c r="G386" s="71">
        <f t="shared" si="18"/>
        <v>8807389026</v>
      </c>
      <c r="H386" s="60">
        <v>0</v>
      </c>
      <c r="I386" s="72"/>
    </row>
    <row r="387" spans="1:9">
      <c r="A387" s="68" t="s">
        <v>14</v>
      </c>
      <c r="B387" s="69">
        <v>2004</v>
      </c>
      <c r="C387" s="73">
        <v>1963177960</v>
      </c>
      <c r="D387" s="73">
        <v>2500584579</v>
      </c>
      <c r="E387" s="73">
        <v>4249515656</v>
      </c>
      <c r="F387" s="73">
        <v>239575706</v>
      </c>
      <c r="G387" s="71">
        <f t="shared" si="18"/>
        <v>8952853901</v>
      </c>
      <c r="H387" s="60">
        <v>0</v>
      </c>
    </row>
    <row r="388" spans="1:9" ht="13.5" customHeight="1">
      <c r="A388" s="68" t="s">
        <v>14</v>
      </c>
      <c r="B388" s="69">
        <v>2005</v>
      </c>
      <c r="C388" s="73">
        <v>1920148953</v>
      </c>
      <c r="D388" s="73">
        <v>2337141661</v>
      </c>
      <c r="E388" s="73">
        <v>4553397486.8400002</v>
      </c>
      <c r="F388" s="73">
        <v>199230303</v>
      </c>
      <c r="G388" s="71">
        <f t="shared" si="18"/>
        <v>9009918403.8400002</v>
      </c>
      <c r="H388" s="60">
        <v>0</v>
      </c>
    </row>
    <row r="389" spans="1:9">
      <c r="A389" s="68" t="s">
        <v>14</v>
      </c>
      <c r="B389" s="69">
        <v>2006</v>
      </c>
      <c r="C389" s="74">
        <v>2009212261</v>
      </c>
      <c r="D389" s="74">
        <v>2633277686</v>
      </c>
      <c r="E389" s="74">
        <v>4947029637</v>
      </c>
      <c r="F389" s="74">
        <v>131890852</v>
      </c>
      <c r="G389" s="71">
        <f t="shared" si="18"/>
        <v>9721410436</v>
      </c>
      <c r="H389" s="60">
        <v>27606670</v>
      </c>
      <c r="I389" s="60" t="s">
        <v>402</v>
      </c>
    </row>
    <row r="390" spans="1:9">
      <c r="A390" s="68" t="s">
        <v>14</v>
      </c>
      <c r="B390" s="69">
        <v>2007</v>
      </c>
      <c r="C390" s="74">
        <v>2104611100</v>
      </c>
      <c r="D390" s="74">
        <v>2598017957</v>
      </c>
      <c r="E390" s="74">
        <v>5660181152</v>
      </c>
      <c r="F390" s="74">
        <v>559888433</v>
      </c>
      <c r="G390" s="71">
        <f t="shared" si="18"/>
        <v>10922698642</v>
      </c>
      <c r="H390" s="60">
        <v>27877189</v>
      </c>
      <c r="I390" s="60" t="s">
        <v>402</v>
      </c>
    </row>
    <row r="391" spans="1:9">
      <c r="A391" s="68" t="s">
        <v>14</v>
      </c>
      <c r="B391" s="69">
        <v>2008</v>
      </c>
      <c r="C391" s="74">
        <v>2125588259</v>
      </c>
      <c r="D391" s="74">
        <v>3502348602</v>
      </c>
      <c r="E391" s="74">
        <v>6102928689</v>
      </c>
      <c r="F391" s="74">
        <v>113770397</v>
      </c>
      <c r="G391" s="71">
        <f t="shared" si="18"/>
        <v>11844635947</v>
      </c>
      <c r="H391" s="60">
        <v>27940784</v>
      </c>
      <c r="I391" s="60" t="s">
        <v>402</v>
      </c>
    </row>
    <row r="392" spans="1:9">
      <c r="A392" s="68" t="s">
        <v>14</v>
      </c>
      <c r="B392" s="69">
        <v>2009</v>
      </c>
      <c r="C392" s="74">
        <v>2220021000</v>
      </c>
      <c r="D392" s="74">
        <v>3311124802</v>
      </c>
      <c r="E392" s="74">
        <v>5921107022</v>
      </c>
      <c r="F392" s="74">
        <v>136748969</v>
      </c>
      <c r="G392" s="71">
        <f t="shared" si="18"/>
        <v>11589001793</v>
      </c>
      <c r="H392" s="60">
        <v>27872973</v>
      </c>
      <c r="I392" s="60" t="s">
        <v>402</v>
      </c>
    </row>
    <row r="393" spans="1:9">
      <c r="A393" s="68" t="s">
        <v>14</v>
      </c>
      <c r="B393" s="69">
        <v>2010</v>
      </c>
      <c r="C393" s="74">
        <v>2228429164</v>
      </c>
      <c r="D393" s="74">
        <v>2774889668</v>
      </c>
      <c r="E393" s="74">
        <v>6314520679</v>
      </c>
      <c r="F393" s="74">
        <v>281467985</v>
      </c>
      <c r="G393" s="71">
        <f t="shared" si="18"/>
        <v>11599307496</v>
      </c>
      <c r="H393" s="60">
        <f>17816726+238268</f>
        <v>18054994</v>
      </c>
      <c r="I393" s="60" t="s">
        <v>402</v>
      </c>
    </row>
    <row r="394" spans="1:9">
      <c r="A394" s="68" t="s">
        <v>14</v>
      </c>
      <c r="B394" s="69">
        <v>2011</v>
      </c>
      <c r="C394" s="74">
        <v>2318050876</v>
      </c>
      <c r="D394" s="74">
        <v>2635774653</v>
      </c>
      <c r="E394" s="74">
        <v>5865937241.1700001</v>
      </c>
      <c r="F394" s="74">
        <v>271274044</v>
      </c>
      <c r="G394" s="71">
        <f t="shared" si="18"/>
        <v>11091036814.17</v>
      </c>
      <c r="H394" s="60">
        <v>14497421</v>
      </c>
      <c r="I394" s="60" t="s">
        <v>402</v>
      </c>
    </row>
    <row r="395" spans="1:9">
      <c r="A395" s="68" t="s">
        <v>14</v>
      </c>
      <c r="B395" s="69">
        <v>2012</v>
      </c>
      <c r="C395" s="74">
        <v>2505999041</v>
      </c>
      <c r="D395" s="74">
        <v>4474179389</v>
      </c>
      <c r="E395" s="74">
        <v>6613392521</v>
      </c>
      <c r="F395" s="74">
        <v>189875052</v>
      </c>
      <c r="G395" s="71">
        <f t="shared" si="18"/>
        <v>13783446003</v>
      </c>
      <c r="H395" s="60">
        <v>18693357</v>
      </c>
      <c r="I395" s="60" t="s">
        <v>402</v>
      </c>
    </row>
    <row r="396" spans="1:9">
      <c r="A396" s="68"/>
      <c r="C396" s="70"/>
      <c r="D396" s="70"/>
      <c r="E396" s="70"/>
      <c r="F396" s="70"/>
      <c r="G396" s="76"/>
      <c r="I396" s="72"/>
    </row>
    <row r="397" spans="1:9">
      <c r="A397" s="68" t="s">
        <v>15</v>
      </c>
      <c r="B397" s="69">
        <v>1988</v>
      </c>
      <c r="C397" s="70">
        <v>785518841</v>
      </c>
      <c r="D397" s="70">
        <v>666373201</v>
      </c>
      <c r="E397" s="70">
        <v>1257600157</v>
      </c>
      <c r="F397" s="70">
        <v>251661721</v>
      </c>
      <c r="G397" s="71">
        <f>SUM(C397:F397)</f>
        <v>2961153920</v>
      </c>
      <c r="H397" s="60">
        <v>0</v>
      </c>
      <c r="I397" s="72"/>
    </row>
    <row r="398" spans="1:9">
      <c r="A398" s="68" t="s">
        <v>15</v>
      </c>
      <c r="B398" s="69">
        <v>1989</v>
      </c>
      <c r="C398" s="70">
        <v>737400938</v>
      </c>
      <c r="D398" s="70">
        <v>713162245</v>
      </c>
      <c r="E398" s="70">
        <v>1385739261</v>
      </c>
      <c r="F398" s="70">
        <v>224539753</v>
      </c>
      <c r="G398" s="71">
        <f t="shared" ref="G398:G421" si="19">SUM(C398:F398)</f>
        <v>3060842197</v>
      </c>
      <c r="H398" s="60">
        <v>0</v>
      </c>
      <c r="I398" s="72"/>
    </row>
    <row r="399" spans="1:9">
      <c r="A399" s="68" t="s">
        <v>15</v>
      </c>
      <c r="B399" s="69">
        <v>1990</v>
      </c>
      <c r="C399" s="70">
        <v>756412872</v>
      </c>
      <c r="D399" s="70">
        <v>883066273.08000004</v>
      </c>
      <c r="E399" s="70">
        <v>1437593560</v>
      </c>
      <c r="F399" s="70">
        <v>174140010</v>
      </c>
      <c r="G399" s="71">
        <f t="shared" si="19"/>
        <v>3251212715.0799999</v>
      </c>
      <c r="H399" s="60">
        <v>0</v>
      </c>
      <c r="I399" s="72"/>
    </row>
    <row r="400" spans="1:9">
      <c r="A400" s="68" t="s">
        <v>15</v>
      </c>
      <c r="B400" s="69">
        <v>1991</v>
      </c>
      <c r="C400" s="70">
        <v>842900036</v>
      </c>
      <c r="D400" s="70">
        <v>886725305</v>
      </c>
      <c r="E400" s="70">
        <v>1391111493</v>
      </c>
      <c r="F400" s="70">
        <v>227822108</v>
      </c>
      <c r="G400" s="71">
        <f t="shared" si="19"/>
        <v>3348558942</v>
      </c>
      <c r="H400" s="60">
        <v>0</v>
      </c>
      <c r="I400" s="72"/>
    </row>
    <row r="401" spans="1:9">
      <c r="A401" s="68" t="s">
        <v>15</v>
      </c>
      <c r="B401" s="69">
        <v>1992</v>
      </c>
      <c r="C401" s="70">
        <v>842908152</v>
      </c>
      <c r="D401" s="70">
        <v>925692132.84000003</v>
      </c>
      <c r="E401" s="70">
        <v>1409401079</v>
      </c>
      <c r="F401" s="70">
        <v>128788808</v>
      </c>
      <c r="G401" s="71">
        <f t="shared" si="19"/>
        <v>3306790171.8400002</v>
      </c>
      <c r="H401" s="60">
        <v>0</v>
      </c>
      <c r="I401" s="72"/>
    </row>
    <row r="402" spans="1:9">
      <c r="A402" s="68" t="s">
        <v>15</v>
      </c>
      <c r="B402" s="69">
        <v>1993</v>
      </c>
      <c r="C402" s="70">
        <v>882251556</v>
      </c>
      <c r="D402" s="70">
        <v>904997269</v>
      </c>
      <c r="E402" s="70">
        <v>1626509806</v>
      </c>
      <c r="F402" s="70">
        <v>182073258</v>
      </c>
      <c r="G402" s="71">
        <f t="shared" si="19"/>
        <v>3595831889</v>
      </c>
      <c r="H402" s="60">
        <v>0</v>
      </c>
      <c r="I402" s="72"/>
    </row>
    <row r="403" spans="1:9">
      <c r="A403" s="68" t="s">
        <v>15</v>
      </c>
      <c r="B403" s="69">
        <v>1994</v>
      </c>
      <c r="C403" s="70">
        <v>942321717</v>
      </c>
      <c r="D403" s="70">
        <v>1008736756</v>
      </c>
      <c r="E403" s="70">
        <v>1637708558</v>
      </c>
      <c r="F403" s="70">
        <v>113476398</v>
      </c>
      <c r="G403" s="71">
        <f t="shared" si="19"/>
        <v>3702243429</v>
      </c>
      <c r="H403" s="60">
        <v>0</v>
      </c>
      <c r="I403" s="72"/>
    </row>
    <row r="404" spans="1:9">
      <c r="A404" s="68" t="s">
        <v>15</v>
      </c>
      <c r="B404" s="69">
        <v>1995</v>
      </c>
      <c r="C404" s="70">
        <v>997746336</v>
      </c>
      <c r="D404" s="70">
        <v>1016521518</v>
      </c>
      <c r="E404" s="70">
        <v>1737573975</v>
      </c>
      <c r="F404" s="70">
        <v>134059041</v>
      </c>
      <c r="G404" s="71">
        <f t="shared" si="19"/>
        <v>3885900870</v>
      </c>
      <c r="H404" s="60">
        <v>0</v>
      </c>
      <c r="I404" s="72"/>
    </row>
    <row r="405" spans="1:9">
      <c r="A405" s="68" t="s">
        <v>15</v>
      </c>
      <c r="B405" s="69">
        <v>1996</v>
      </c>
      <c r="C405" s="70">
        <v>955936583</v>
      </c>
      <c r="D405" s="70">
        <v>784021094</v>
      </c>
      <c r="E405" s="70">
        <v>1838043543</v>
      </c>
      <c r="F405" s="70">
        <v>109511547</v>
      </c>
      <c r="G405" s="71">
        <f t="shared" si="19"/>
        <v>3687512767</v>
      </c>
      <c r="H405" s="60">
        <v>0</v>
      </c>
      <c r="I405" s="72"/>
    </row>
    <row r="406" spans="1:9">
      <c r="A406" s="68" t="s">
        <v>15</v>
      </c>
      <c r="B406" s="69">
        <v>1997</v>
      </c>
      <c r="C406" s="70">
        <v>985559407</v>
      </c>
      <c r="D406" s="70">
        <v>894117143</v>
      </c>
      <c r="E406" s="70">
        <v>1849655839</v>
      </c>
      <c r="F406" s="70">
        <v>169015453</v>
      </c>
      <c r="G406" s="71">
        <f t="shared" si="19"/>
        <v>3898347842</v>
      </c>
      <c r="H406" s="60">
        <v>0</v>
      </c>
      <c r="I406" s="72"/>
    </row>
    <row r="407" spans="1:9">
      <c r="A407" s="68" t="s">
        <v>15</v>
      </c>
      <c r="B407" s="69">
        <v>1998</v>
      </c>
      <c r="C407" s="70">
        <v>1065757864</v>
      </c>
      <c r="D407" s="70">
        <v>849594940</v>
      </c>
      <c r="E407" s="70">
        <v>1952738002</v>
      </c>
      <c r="F407" s="70">
        <v>135269047</v>
      </c>
      <c r="G407" s="71">
        <f t="shared" si="19"/>
        <v>4003359853</v>
      </c>
      <c r="H407" s="60">
        <v>0</v>
      </c>
      <c r="I407" s="72"/>
    </row>
    <row r="408" spans="1:9">
      <c r="A408" s="68" t="s">
        <v>15</v>
      </c>
      <c r="B408" s="69">
        <v>1999</v>
      </c>
      <c r="C408" s="70">
        <v>953323879</v>
      </c>
      <c r="D408" s="70">
        <v>1171798999</v>
      </c>
      <c r="E408" s="70">
        <v>2082100004</v>
      </c>
      <c r="F408" s="70">
        <v>447435166</v>
      </c>
      <c r="G408" s="71">
        <f t="shared" si="19"/>
        <v>4654658048</v>
      </c>
      <c r="H408" s="60">
        <v>0</v>
      </c>
      <c r="I408" s="72"/>
    </row>
    <row r="409" spans="1:9">
      <c r="A409" s="68" t="s">
        <v>15</v>
      </c>
      <c r="B409" s="69">
        <v>2000</v>
      </c>
      <c r="C409" s="70">
        <v>977485907</v>
      </c>
      <c r="D409" s="70">
        <v>1130559841</v>
      </c>
      <c r="E409" s="70">
        <v>2170175367</v>
      </c>
      <c r="F409" s="70">
        <v>305994751</v>
      </c>
      <c r="G409" s="71">
        <f t="shared" si="19"/>
        <v>4584215866</v>
      </c>
      <c r="H409" s="60">
        <v>0</v>
      </c>
      <c r="I409" s="72"/>
    </row>
    <row r="410" spans="1:9">
      <c r="A410" s="68" t="s">
        <v>15</v>
      </c>
      <c r="B410" s="69">
        <v>2001</v>
      </c>
      <c r="C410" s="70">
        <v>1016548735</v>
      </c>
      <c r="D410" s="70">
        <v>1520979606</v>
      </c>
      <c r="E410" s="70">
        <v>2348107723</v>
      </c>
      <c r="F410" s="70">
        <v>209415591</v>
      </c>
      <c r="G410" s="71">
        <f t="shared" si="19"/>
        <v>5095051655</v>
      </c>
      <c r="H410" s="60">
        <v>0</v>
      </c>
      <c r="I410" s="72"/>
    </row>
    <row r="411" spans="1:9">
      <c r="A411" s="68" t="s">
        <v>15</v>
      </c>
      <c r="B411" s="69">
        <v>2002</v>
      </c>
      <c r="C411" s="70">
        <v>1039296621</v>
      </c>
      <c r="D411" s="70">
        <v>1717794926</v>
      </c>
      <c r="E411" s="70">
        <v>2475482347</v>
      </c>
      <c r="F411" s="70">
        <v>1769965718</v>
      </c>
      <c r="G411" s="71">
        <f t="shared" si="19"/>
        <v>7002539612</v>
      </c>
      <c r="H411" s="60">
        <v>0</v>
      </c>
      <c r="I411" s="72"/>
    </row>
    <row r="412" spans="1:9">
      <c r="A412" s="68" t="s">
        <v>15</v>
      </c>
      <c r="B412" s="69">
        <v>2003</v>
      </c>
      <c r="C412" s="73">
        <v>1078626255</v>
      </c>
      <c r="D412" s="73">
        <v>1549106632</v>
      </c>
      <c r="E412" s="73">
        <v>2693140493</v>
      </c>
      <c r="F412" s="73">
        <v>207080334</v>
      </c>
      <c r="G412" s="71">
        <f t="shared" si="19"/>
        <v>5527953714</v>
      </c>
      <c r="H412" s="60">
        <v>0</v>
      </c>
      <c r="I412" s="72"/>
    </row>
    <row r="413" spans="1:9">
      <c r="A413" s="68" t="s">
        <v>15</v>
      </c>
      <c r="B413" s="69">
        <v>2004</v>
      </c>
      <c r="C413" s="73">
        <v>1095758469</v>
      </c>
      <c r="D413" s="73">
        <v>1429113041</v>
      </c>
      <c r="E413" s="73">
        <v>2907255455</v>
      </c>
      <c r="F413" s="73">
        <v>176930195</v>
      </c>
      <c r="G413" s="71">
        <f t="shared" si="19"/>
        <v>5609057160</v>
      </c>
      <c r="H413" s="60">
        <v>0</v>
      </c>
    </row>
    <row r="414" spans="1:9">
      <c r="A414" s="68" t="s">
        <v>15</v>
      </c>
      <c r="B414" s="69">
        <v>2005</v>
      </c>
      <c r="C414" s="73">
        <v>1100356776</v>
      </c>
      <c r="D414" s="73">
        <v>1487301757</v>
      </c>
      <c r="E414" s="73">
        <v>3134257219.0799899</v>
      </c>
      <c r="F414" s="73">
        <v>205498350</v>
      </c>
      <c r="G414" s="71">
        <f t="shared" si="19"/>
        <v>5927414102.0799904</v>
      </c>
      <c r="H414" s="60">
        <v>0</v>
      </c>
    </row>
    <row r="415" spans="1:9">
      <c r="A415" s="68" t="s">
        <v>15</v>
      </c>
      <c r="B415" s="69">
        <v>2006</v>
      </c>
      <c r="C415" s="74">
        <v>1177468079</v>
      </c>
      <c r="D415" s="74">
        <v>1720711814</v>
      </c>
      <c r="E415" s="74">
        <v>3327686655</v>
      </c>
      <c r="F415" s="74">
        <v>1179413264</v>
      </c>
      <c r="G415" s="71">
        <f t="shared" si="19"/>
        <v>7405279812</v>
      </c>
      <c r="H415" s="60">
        <v>0</v>
      </c>
    </row>
    <row r="416" spans="1:9">
      <c r="A416" s="68" t="s">
        <v>15</v>
      </c>
      <c r="B416" s="69">
        <v>2007</v>
      </c>
      <c r="C416" s="74">
        <v>1253952349</v>
      </c>
      <c r="D416" s="74">
        <v>1476715221</v>
      </c>
      <c r="E416" s="74">
        <v>3601872431</v>
      </c>
      <c r="F416" s="74">
        <v>1130651963</v>
      </c>
      <c r="G416" s="71">
        <f t="shared" si="19"/>
        <v>7463191964</v>
      </c>
      <c r="H416" s="60">
        <v>0</v>
      </c>
    </row>
    <row r="417" spans="1:9">
      <c r="A417" s="68" t="s">
        <v>15</v>
      </c>
      <c r="B417" s="69">
        <v>2008</v>
      </c>
      <c r="C417" s="74">
        <v>1212557106</v>
      </c>
      <c r="D417" s="74">
        <v>2393115964</v>
      </c>
      <c r="E417" s="74">
        <v>3563704280</v>
      </c>
      <c r="F417" s="74">
        <v>2381888861</v>
      </c>
      <c r="G417" s="71">
        <f t="shared" si="19"/>
        <v>9551266211</v>
      </c>
      <c r="H417" s="60">
        <v>0</v>
      </c>
    </row>
    <row r="418" spans="1:9">
      <c r="A418" s="68" t="s">
        <v>15</v>
      </c>
      <c r="B418" s="69">
        <v>2009</v>
      </c>
      <c r="C418" s="74">
        <v>1334903102</v>
      </c>
      <c r="D418" s="74">
        <v>1922775917</v>
      </c>
      <c r="E418" s="74">
        <v>3545875294</v>
      </c>
      <c r="F418" s="74">
        <v>656787624</v>
      </c>
      <c r="G418" s="71">
        <f t="shared" si="19"/>
        <v>7460341937</v>
      </c>
      <c r="H418" s="60">
        <v>0</v>
      </c>
    </row>
    <row r="419" spans="1:9">
      <c r="A419" s="68" t="s">
        <v>15</v>
      </c>
      <c r="B419" s="69">
        <v>2010</v>
      </c>
      <c r="C419" s="74">
        <v>1429906032</v>
      </c>
      <c r="D419" s="74">
        <v>2108886723</v>
      </c>
      <c r="E419" s="74">
        <v>3584947156</v>
      </c>
      <c r="F419" s="74">
        <v>430938855</v>
      </c>
      <c r="G419" s="71">
        <f t="shared" si="19"/>
        <v>7554678766</v>
      </c>
      <c r="H419" s="60">
        <v>0</v>
      </c>
    </row>
    <row r="420" spans="1:9">
      <c r="A420" s="68" t="s">
        <v>15</v>
      </c>
      <c r="B420" s="69">
        <v>2011</v>
      </c>
      <c r="C420" s="74">
        <v>1582915114</v>
      </c>
      <c r="D420" s="74">
        <v>1877137731</v>
      </c>
      <c r="E420" s="74">
        <v>3627105984.5599999</v>
      </c>
      <c r="F420" s="74">
        <v>993172464</v>
      </c>
      <c r="G420" s="71">
        <f t="shared" si="19"/>
        <v>8080331293.5599995</v>
      </c>
      <c r="H420" s="60">
        <v>11389613</v>
      </c>
      <c r="I420" s="60" t="s">
        <v>402</v>
      </c>
    </row>
    <row r="421" spans="1:9">
      <c r="A421" s="68" t="s">
        <v>15</v>
      </c>
      <c r="B421" s="69">
        <v>2012</v>
      </c>
      <c r="C421" s="74">
        <v>1669257836</v>
      </c>
      <c r="D421" s="74">
        <v>2512780642</v>
      </c>
      <c r="E421" s="74">
        <v>3581752180</v>
      </c>
      <c r="F421" s="74">
        <v>3474153065</v>
      </c>
      <c r="G421" s="71">
        <f t="shared" si="19"/>
        <v>11237943723</v>
      </c>
      <c r="H421" s="60">
        <v>12525559</v>
      </c>
      <c r="I421" s="60" t="s">
        <v>402</v>
      </c>
    </row>
    <row r="422" spans="1:9">
      <c r="A422" s="68"/>
      <c r="C422" s="70"/>
      <c r="D422" s="70"/>
      <c r="E422" s="70"/>
      <c r="F422" s="70"/>
      <c r="G422" s="71"/>
      <c r="I422" s="72"/>
    </row>
    <row r="423" spans="1:9">
      <c r="A423" s="68" t="s">
        <v>16</v>
      </c>
      <c r="B423" s="69">
        <v>1988</v>
      </c>
      <c r="C423" s="70">
        <v>639565767</v>
      </c>
      <c r="D423" s="70">
        <v>401514879</v>
      </c>
      <c r="E423" s="70">
        <v>974720100</v>
      </c>
      <c r="F423" s="70">
        <v>0</v>
      </c>
      <c r="G423" s="71">
        <f>SUM(C423:F423)</f>
        <v>2015800746</v>
      </c>
      <c r="H423" s="60">
        <v>0</v>
      </c>
      <c r="I423" s="72"/>
    </row>
    <row r="424" spans="1:9">
      <c r="A424" s="68" t="s">
        <v>16</v>
      </c>
      <c r="B424" s="69">
        <v>1989</v>
      </c>
      <c r="C424" s="70">
        <v>608814887</v>
      </c>
      <c r="D424" s="70">
        <v>430035831</v>
      </c>
      <c r="E424" s="70">
        <v>1076232589</v>
      </c>
      <c r="F424" s="70">
        <v>0</v>
      </c>
      <c r="G424" s="71">
        <f t="shared" ref="G424:G447" si="20">SUM(C424:F424)</f>
        <v>2115083307</v>
      </c>
      <c r="H424" s="60">
        <v>0</v>
      </c>
      <c r="I424" s="72"/>
    </row>
    <row r="425" spans="1:9">
      <c r="A425" s="68" t="s">
        <v>16</v>
      </c>
      <c r="B425" s="69">
        <v>1990</v>
      </c>
      <c r="C425" s="70">
        <v>656398552</v>
      </c>
      <c r="D425" s="70">
        <v>499031760.88</v>
      </c>
      <c r="E425" s="70">
        <v>1216654689</v>
      </c>
      <c r="F425" s="70">
        <v>0</v>
      </c>
      <c r="G425" s="71">
        <f t="shared" si="20"/>
        <v>2372085001.8800001</v>
      </c>
      <c r="H425" s="60">
        <v>0</v>
      </c>
      <c r="I425" s="72"/>
    </row>
    <row r="426" spans="1:9">
      <c r="A426" s="68" t="s">
        <v>16</v>
      </c>
      <c r="B426" s="69">
        <v>1991</v>
      </c>
      <c r="C426" s="70">
        <v>681053616</v>
      </c>
      <c r="D426" s="70">
        <v>455310657</v>
      </c>
      <c r="E426" s="70">
        <v>1268847560</v>
      </c>
      <c r="F426" s="70">
        <v>0</v>
      </c>
      <c r="G426" s="71">
        <f t="shared" si="20"/>
        <v>2405211833</v>
      </c>
      <c r="H426" s="60">
        <v>0</v>
      </c>
      <c r="I426" s="72"/>
    </row>
    <row r="427" spans="1:9">
      <c r="A427" s="68" t="s">
        <v>16</v>
      </c>
      <c r="B427" s="69">
        <v>1992</v>
      </c>
      <c r="C427" s="70">
        <v>763861799</v>
      </c>
      <c r="D427" s="70">
        <v>582216067.07999992</v>
      </c>
      <c r="E427" s="70">
        <v>1333789810</v>
      </c>
      <c r="F427" s="70">
        <v>0</v>
      </c>
      <c r="G427" s="71">
        <f t="shared" si="20"/>
        <v>2679867676.0799999</v>
      </c>
      <c r="H427" s="60">
        <v>0</v>
      </c>
      <c r="I427" s="72"/>
    </row>
    <row r="428" spans="1:9">
      <c r="A428" s="68" t="s">
        <v>16</v>
      </c>
      <c r="B428" s="69">
        <v>1993</v>
      </c>
      <c r="C428" s="70">
        <v>786765266</v>
      </c>
      <c r="D428" s="70">
        <v>515434776</v>
      </c>
      <c r="E428" s="70">
        <v>1404106568</v>
      </c>
      <c r="F428" s="70">
        <v>0</v>
      </c>
      <c r="G428" s="71">
        <f t="shared" si="20"/>
        <v>2706306610</v>
      </c>
      <c r="H428" s="60">
        <v>0</v>
      </c>
      <c r="I428" s="72"/>
    </row>
    <row r="429" spans="1:9">
      <c r="A429" s="68" t="s">
        <v>16</v>
      </c>
      <c r="B429" s="69">
        <v>1994</v>
      </c>
      <c r="C429" s="70">
        <v>861400497</v>
      </c>
      <c r="D429" s="70">
        <v>552545906</v>
      </c>
      <c r="E429" s="70">
        <v>1444474497</v>
      </c>
      <c r="F429" s="70">
        <v>0</v>
      </c>
      <c r="G429" s="71">
        <f t="shared" si="20"/>
        <v>2858420900</v>
      </c>
      <c r="H429" s="60">
        <v>0</v>
      </c>
      <c r="I429" s="72"/>
    </row>
    <row r="430" spans="1:9">
      <c r="A430" s="68" t="s">
        <v>16</v>
      </c>
      <c r="B430" s="69">
        <v>1995</v>
      </c>
      <c r="C430" s="70">
        <v>843021220</v>
      </c>
      <c r="D430" s="70">
        <v>569854074</v>
      </c>
      <c r="E430" s="70">
        <v>1444104643</v>
      </c>
      <c r="F430" s="70">
        <v>0</v>
      </c>
      <c r="G430" s="71">
        <f t="shared" si="20"/>
        <v>2856979937</v>
      </c>
      <c r="H430" s="60">
        <v>0</v>
      </c>
      <c r="I430" s="72"/>
    </row>
    <row r="431" spans="1:9">
      <c r="A431" s="68" t="s">
        <v>16</v>
      </c>
      <c r="B431" s="69">
        <v>1996</v>
      </c>
      <c r="C431" s="70">
        <v>853764235</v>
      </c>
      <c r="D431" s="70">
        <v>462524491</v>
      </c>
      <c r="E431" s="70">
        <v>1418049665</v>
      </c>
      <c r="F431" s="70">
        <v>0</v>
      </c>
      <c r="G431" s="71">
        <f t="shared" si="20"/>
        <v>2734338391</v>
      </c>
      <c r="H431" s="60">
        <v>0</v>
      </c>
      <c r="I431" s="72"/>
    </row>
    <row r="432" spans="1:9">
      <c r="A432" s="68" t="s">
        <v>16</v>
      </c>
      <c r="B432" s="69">
        <v>1997</v>
      </c>
      <c r="C432" s="70">
        <v>795285017</v>
      </c>
      <c r="D432" s="70">
        <v>540931940</v>
      </c>
      <c r="E432" s="70">
        <v>1429894102</v>
      </c>
      <c r="F432" s="70">
        <v>0</v>
      </c>
      <c r="G432" s="71">
        <f t="shared" si="20"/>
        <v>2766111059</v>
      </c>
      <c r="H432" s="60">
        <v>0</v>
      </c>
      <c r="I432" s="72"/>
    </row>
    <row r="433" spans="1:9">
      <c r="A433" s="68" t="s">
        <v>16</v>
      </c>
      <c r="B433" s="69">
        <v>1998</v>
      </c>
      <c r="C433" s="70">
        <v>819132462</v>
      </c>
      <c r="D433" s="70">
        <v>473659037</v>
      </c>
      <c r="E433" s="70">
        <v>1539514398</v>
      </c>
      <c r="F433" s="70">
        <v>0</v>
      </c>
      <c r="G433" s="71">
        <f t="shared" si="20"/>
        <v>2832305897</v>
      </c>
      <c r="H433" s="60">
        <v>0</v>
      </c>
      <c r="I433" s="72"/>
    </row>
    <row r="434" spans="1:9">
      <c r="A434" s="68" t="s">
        <v>16</v>
      </c>
      <c r="B434" s="69">
        <v>1999</v>
      </c>
      <c r="C434" s="70">
        <v>795058466</v>
      </c>
      <c r="D434" s="70">
        <v>1349430275</v>
      </c>
      <c r="E434" s="70">
        <v>1629391488</v>
      </c>
      <c r="F434" s="70">
        <v>0</v>
      </c>
      <c r="G434" s="71">
        <f t="shared" si="20"/>
        <v>3773880229</v>
      </c>
      <c r="H434" s="60">
        <v>0</v>
      </c>
      <c r="I434" s="72"/>
    </row>
    <row r="435" spans="1:9">
      <c r="A435" s="68" t="s">
        <v>16</v>
      </c>
      <c r="B435" s="69">
        <v>2000</v>
      </c>
      <c r="C435" s="70">
        <v>812902299</v>
      </c>
      <c r="D435" s="70">
        <v>935686521</v>
      </c>
      <c r="E435" s="70">
        <v>1705618511</v>
      </c>
      <c r="F435" s="70">
        <v>0</v>
      </c>
      <c r="G435" s="71">
        <f t="shared" si="20"/>
        <v>3454207331</v>
      </c>
      <c r="H435" s="60">
        <v>0</v>
      </c>
      <c r="I435" s="72"/>
    </row>
    <row r="436" spans="1:9">
      <c r="A436" s="68" t="s">
        <v>16</v>
      </c>
      <c r="B436" s="69">
        <v>2001</v>
      </c>
      <c r="C436" s="70">
        <v>859584486</v>
      </c>
      <c r="D436" s="70">
        <v>948024058</v>
      </c>
      <c r="E436" s="70">
        <v>1896700056</v>
      </c>
      <c r="F436" s="70">
        <v>0</v>
      </c>
      <c r="G436" s="71">
        <f t="shared" si="20"/>
        <v>3704308600</v>
      </c>
      <c r="H436" s="60">
        <v>0</v>
      </c>
      <c r="I436" s="72"/>
    </row>
    <row r="437" spans="1:9">
      <c r="A437" s="68" t="s">
        <v>16</v>
      </c>
      <c r="B437" s="69">
        <v>2002</v>
      </c>
      <c r="C437" s="70">
        <v>831889443</v>
      </c>
      <c r="D437" s="70">
        <v>1294896420</v>
      </c>
      <c r="E437" s="70">
        <v>2119794524</v>
      </c>
      <c r="F437" s="70">
        <v>0</v>
      </c>
      <c r="G437" s="71">
        <f t="shared" si="20"/>
        <v>4246580387</v>
      </c>
      <c r="H437" s="60">
        <v>0</v>
      </c>
      <c r="I437" s="72"/>
    </row>
    <row r="438" spans="1:9">
      <c r="A438" s="68" t="s">
        <v>16</v>
      </c>
      <c r="B438" s="69">
        <v>2003</v>
      </c>
      <c r="C438" s="73">
        <v>932087251</v>
      </c>
      <c r="D438" s="73">
        <v>1119181316</v>
      </c>
      <c r="E438" s="73">
        <v>2328435351</v>
      </c>
      <c r="F438" s="70">
        <v>0</v>
      </c>
      <c r="G438" s="71">
        <f t="shared" si="20"/>
        <v>4379703918</v>
      </c>
      <c r="H438" s="60">
        <v>0</v>
      </c>
      <c r="I438" s="72"/>
    </row>
    <row r="439" spans="1:9">
      <c r="A439" s="68" t="s">
        <v>16</v>
      </c>
      <c r="B439" s="69">
        <v>2004</v>
      </c>
      <c r="C439" s="73">
        <v>953944326</v>
      </c>
      <c r="D439" s="73">
        <v>1003319291</v>
      </c>
      <c r="E439" s="73">
        <v>2456484648</v>
      </c>
      <c r="F439" s="70">
        <v>0</v>
      </c>
      <c r="G439" s="71">
        <f t="shared" si="20"/>
        <v>4413748265</v>
      </c>
      <c r="H439" s="60">
        <v>0</v>
      </c>
    </row>
    <row r="440" spans="1:9">
      <c r="A440" s="68" t="s">
        <v>16</v>
      </c>
      <c r="B440" s="69">
        <v>2005</v>
      </c>
      <c r="C440" s="73">
        <v>976273182</v>
      </c>
      <c r="D440" s="73">
        <v>934981821</v>
      </c>
      <c r="E440" s="73">
        <v>2565149780.79</v>
      </c>
      <c r="F440" s="70">
        <v>0</v>
      </c>
      <c r="G440" s="71">
        <f t="shared" si="20"/>
        <v>4476404783.79</v>
      </c>
      <c r="H440" s="60">
        <v>0</v>
      </c>
    </row>
    <row r="441" spans="1:9">
      <c r="A441" s="68" t="s">
        <v>16</v>
      </c>
      <c r="B441" s="69">
        <v>2006</v>
      </c>
      <c r="C441" s="74">
        <v>1029692256</v>
      </c>
      <c r="D441" s="74">
        <v>933738653</v>
      </c>
      <c r="E441" s="74">
        <v>2841018009</v>
      </c>
      <c r="F441" s="70">
        <v>0</v>
      </c>
      <c r="G441" s="71">
        <f t="shared" si="20"/>
        <v>4804448918</v>
      </c>
      <c r="H441" s="60">
        <v>0</v>
      </c>
    </row>
    <row r="442" spans="1:9">
      <c r="A442" s="68" t="s">
        <v>16</v>
      </c>
      <c r="B442" s="69">
        <v>2007</v>
      </c>
      <c r="C442" s="74">
        <v>1047567830</v>
      </c>
      <c r="D442" s="74">
        <v>1364592010</v>
      </c>
      <c r="E442" s="74">
        <v>2984075561</v>
      </c>
      <c r="F442" s="74">
        <v>0</v>
      </c>
      <c r="G442" s="71">
        <f t="shared" si="20"/>
        <v>5396235401</v>
      </c>
      <c r="H442" s="60">
        <v>0</v>
      </c>
    </row>
    <row r="443" spans="1:9">
      <c r="A443" s="68" t="s">
        <v>16</v>
      </c>
      <c r="B443" s="69">
        <v>2008</v>
      </c>
      <c r="C443" s="74">
        <v>1043494903</v>
      </c>
      <c r="D443" s="74">
        <v>1449898398</v>
      </c>
      <c r="E443" s="74">
        <v>3128095209</v>
      </c>
      <c r="F443" s="74">
        <v>0</v>
      </c>
      <c r="G443" s="71">
        <f t="shared" si="20"/>
        <v>5621488510</v>
      </c>
      <c r="H443" s="60">
        <v>0</v>
      </c>
    </row>
    <row r="444" spans="1:9">
      <c r="A444" s="68" t="s">
        <v>16</v>
      </c>
      <c r="B444" s="69">
        <v>2009</v>
      </c>
      <c r="C444" s="74">
        <v>1135565677</v>
      </c>
      <c r="D444" s="74">
        <v>1391617049</v>
      </c>
      <c r="E444" s="74">
        <v>3362138626</v>
      </c>
      <c r="F444" s="74">
        <v>0</v>
      </c>
      <c r="G444" s="71">
        <f t="shared" si="20"/>
        <v>5889321352</v>
      </c>
      <c r="H444" s="60">
        <v>0</v>
      </c>
    </row>
    <row r="445" spans="1:9">
      <c r="A445" s="68" t="s">
        <v>16</v>
      </c>
      <c r="B445" s="69">
        <v>2010</v>
      </c>
      <c r="C445" s="74">
        <v>1150998442</v>
      </c>
      <c r="D445" s="74">
        <v>1365534348</v>
      </c>
      <c r="E445" s="74">
        <v>3442502907</v>
      </c>
      <c r="F445" s="74">
        <v>0</v>
      </c>
      <c r="G445" s="71">
        <f t="shared" si="20"/>
        <v>5959035697</v>
      </c>
      <c r="H445" s="60">
        <v>0</v>
      </c>
    </row>
    <row r="446" spans="1:9">
      <c r="A446" s="68" t="s">
        <v>16</v>
      </c>
      <c r="B446" s="69">
        <v>2011</v>
      </c>
      <c r="C446" s="74">
        <v>1228722059</v>
      </c>
      <c r="D446" s="74">
        <v>1360960701</v>
      </c>
      <c r="E446" s="74">
        <v>3403686174.5500002</v>
      </c>
      <c r="F446" s="74">
        <v>0</v>
      </c>
      <c r="G446" s="71">
        <f t="shared" si="20"/>
        <v>5993368934.5500002</v>
      </c>
      <c r="H446" s="60">
        <v>0</v>
      </c>
    </row>
    <row r="447" spans="1:9">
      <c r="A447" s="68" t="s">
        <v>16</v>
      </c>
      <c r="B447" s="69">
        <v>2012</v>
      </c>
      <c r="C447" s="74">
        <v>1259867856</v>
      </c>
      <c r="D447" s="74">
        <v>1446360585</v>
      </c>
      <c r="E447" s="74">
        <v>3426986109</v>
      </c>
      <c r="F447" s="74">
        <v>0</v>
      </c>
      <c r="G447" s="71">
        <f t="shared" si="20"/>
        <v>6133214550</v>
      </c>
      <c r="H447" s="60">
        <v>0</v>
      </c>
    </row>
    <row r="448" spans="1:9">
      <c r="A448" s="68"/>
      <c r="C448" s="70"/>
      <c r="D448" s="70"/>
      <c r="E448" s="70"/>
      <c r="F448" s="70"/>
      <c r="G448" s="76"/>
      <c r="I448" s="72"/>
    </row>
    <row r="449" spans="1:9">
      <c r="A449" s="68" t="s">
        <v>17</v>
      </c>
      <c r="B449" s="69">
        <v>1988</v>
      </c>
      <c r="C449" s="70">
        <v>652323525</v>
      </c>
      <c r="D449" s="70">
        <v>462752555</v>
      </c>
      <c r="E449" s="70">
        <v>1001179311</v>
      </c>
      <c r="F449" s="70">
        <v>0</v>
      </c>
      <c r="G449" s="71">
        <f>SUM(C449:F449)</f>
        <v>2116255391</v>
      </c>
      <c r="H449" s="60">
        <v>0</v>
      </c>
      <c r="I449" s="72"/>
    </row>
    <row r="450" spans="1:9">
      <c r="A450" s="68" t="s">
        <v>17</v>
      </c>
      <c r="B450" s="69">
        <v>1989</v>
      </c>
      <c r="C450" s="70">
        <v>681252108</v>
      </c>
      <c r="D450" s="70">
        <v>402109921</v>
      </c>
      <c r="E450" s="70">
        <v>976169464</v>
      </c>
      <c r="F450" s="70">
        <v>0</v>
      </c>
      <c r="G450" s="71">
        <f t="shared" ref="G450:G473" si="21">SUM(C450:F450)</f>
        <v>2059531493</v>
      </c>
      <c r="H450" s="60">
        <v>0</v>
      </c>
      <c r="I450" s="72"/>
    </row>
    <row r="451" spans="1:9">
      <c r="A451" s="68" t="s">
        <v>17</v>
      </c>
      <c r="B451" s="69">
        <v>1990</v>
      </c>
      <c r="C451" s="70">
        <v>702834652</v>
      </c>
      <c r="D451" s="70">
        <v>562093109.12</v>
      </c>
      <c r="E451" s="70">
        <v>1028577699</v>
      </c>
      <c r="F451" s="70">
        <v>0</v>
      </c>
      <c r="G451" s="71">
        <f t="shared" si="21"/>
        <v>2293505460.1199999</v>
      </c>
      <c r="H451" s="60">
        <v>0</v>
      </c>
      <c r="I451" s="72"/>
    </row>
    <row r="452" spans="1:9">
      <c r="A452" s="68" t="s">
        <v>17</v>
      </c>
      <c r="B452" s="69">
        <v>1991</v>
      </c>
      <c r="C452" s="70">
        <v>804298095</v>
      </c>
      <c r="D452" s="70">
        <v>407490577</v>
      </c>
      <c r="E452" s="70">
        <v>1040899763</v>
      </c>
      <c r="F452" s="70">
        <v>0</v>
      </c>
      <c r="G452" s="71">
        <f t="shared" si="21"/>
        <v>2252688435</v>
      </c>
      <c r="H452" s="60">
        <v>0</v>
      </c>
      <c r="I452" s="72"/>
    </row>
    <row r="453" spans="1:9">
      <c r="A453" s="68" t="s">
        <v>17</v>
      </c>
      <c r="B453" s="69">
        <v>1992</v>
      </c>
      <c r="C453" s="70">
        <v>863449882</v>
      </c>
      <c r="D453" s="70">
        <v>477039571.24000001</v>
      </c>
      <c r="E453" s="70">
        <v>1046400494</v>
      </c>
      <c r="F453" s="70">
        <v>0</v>
      </c>
      <c r="G453" s="71">
        <f t="shared" si="21"/>
        <v>2386889947.2399998</v>
      </c>
      <c r="H453" s="60">
        <v>0</v>
      </c>
      <c r="I453" s="72"/>
    </row>
    <row r="454" spans="1:9">
      <c r="A454" s="68" t="s">
        <v>17</v>
      </c>
      <c r="B454" s="69">
        <v>1993</v>
      </c>
      <c r="C454" s="70">
        <v>981759182</v>
      </c>
      <c r="D454" s="70">
        <v>420968556</v>
      </c>
      <c r="E454" s="70">
        <v>731975034</v>
      </c>
      <c r="F454" s="70">
        <v>0</v>
      </c>
      <c r="G454" s="71">
        <f t="shared" si="21"/>
        <v>2134702772</v>
      </c>
      <c r="H454" s="60">
        <v>0</v>
      </c>
      <c r="I454" s="72"/>
    </row>
    <row r="455" spans="1:9">
      <c r="A455" s="68" t="s">
        <v>17</v>
      </c>
      <c r="B455" s="69">
        <v>1994</v>
      </c>
      <c r="C455" s="70">
        <v>1041084278</v>
      </c>
      <c r="D455" s="70">
        <v>435895513</v>
      </c>
      <c r="E455" s="70">
        <v>754992840</v>
      </c>
      <c r="F455" s="70">
        <v>0</v>
      </c>
      <c r="G455" s="71">
        <f t="shared" si="21"/>
        <v>2231972631</v>
      </c>
      <c r="H455" s="60">
        <v>0</v>
      </c>
      <c r="I455" s="72"/>
    </row>
    <row r="456" spans="1:9">
      <c r="A456" s="68" t="s">
        <v>17</v>
      </c>
      <c r="B456" s="69">
        <v>1995</v>
      </c>
      <c r="C456" s="70">
        <v>1118838559</v>
      </c>
      <c r="D456" s="70">
        <v>505290615</v>
      </c>
      <c r="E456" s="70">
        <v>775041380</v>
      </c>
      <c r="F456" s="70">
        <v>0</v>
      </c>
      <c r="G456" s="71">
        <f t="shared" si="21"/>
        <v>2399170554</v>
      </c>
      <c r="H456" s="60">
        <v>0</v>
      </c>
      <c r="I456" s="72"/>
    </row>
    <row r="457" spans="1:9">
      <c r="A457" s="68" t="s">
        <v>17</v>
      </c>
      <c r="B457" s="69">
        <v>1996</v>
      </c>
      <c r="C457" s="70">
        <v>1048384540</v>
      </c>
      <c r="D457" s="70">
        <v>510101586</v>
      </c>
      <c r="E457" s="70">
        <v>731273244</v>
      </c>
      <c r="F457" s="70">
        <v>0</v>
      </c>
      <c r="G457" s="71">
        <f t="shared" si="21"/>
        <v>2289759370</v>
      </c>
      <c r="H457" s="60">
        <v>0</v>
      </c>
      <c r="I457" s="72"/>
    </row>
    <row r="458" spans="1:9">
      <c r="A458" s="68" t="s">
        <v>17</v>
      </c>
      <c r="B458" s="69">
        <v>1997</v>
      </c>
      <c r="C458" s="70">
        <v>1036170128</v>
      </c>
      <c r="D458" s="70">
        <v>614634514</v>
      </c>
      <c r="E458" s="70">
        <v>698776603</v>
      </c>
      <c r="F458" s="70">
        <v>0</v>
      </c>
      <c r="G458" s="71">
        <f t="shared" si="21"/>
        <v>2349581245</v>
      </c>
      <c r="H458" s="60">
        <v>0</v>
      </c>
      <c r="I458" s="72"/>
    </row>
    <row r="459" spans="1:9">
      <c r="A459" s="68" t="s">
        <v>17</v>
      </c>
      <c r="B459" s="69">
        <v>1998</v>
      </c>
      <c r="C459" s="70">
        <v>1016179966</v>
      </c>
      <c r="D459" s="70">
        <v>498080187</v>
      </c>
      <c r="E459" s="70">
        <v>837252702</v>
      </c>
      <c r="F459" s="70">
        <v>0</v>
      </c>
      <c r="G459" s="71">
        <f t="shared" si="21"/>
        <v>2351512855</v>
      </c>
      <c r="H459" s="60">
        <v>0</v>
      </c>
      <c r="I459" s="72"/>
    </row>
    <row r="460" spans="1:9">
      <c r="A460" s="68" t="s">
        <v>17</v>
      </c>
      <c r="B460" s="69">
        <v>1999</v>
      </c>
      <c r="C460" s="70">
        <v>987288799</v>
      </c>
      <c r="D460" s="70">
        <v>709438478</v>
      </c>
      <c r="E460" s="70">
        <v>812187543</v>
      </c>
      <c r="F460" s="70">
        <v>0</v>
      </c>
      <c r="G460" s="71">
        <f t="shared" si="21"/>
        <v>2508914820</v>
      </c>
      <c r="H460" s="60">
        <v>0</v>
      </c>
      <c r="I460" s="72"/>
    </row>
    <row r="461" spans="1:9">
      <c r="A461" s="68" t="s">
        <v>17</v>
      </c>
      <c r="B461" s="69">
        <v>2000</v>
      </c>
      <c r="C461" s="70">
        <v>1006135905</v>
      </c>
      <c r="D461" s="70">
        <v>670789512</v>
      </c>
      <c r="E461" s="70">
        <v>952658524</v>
      </c>
      <c r="F461" s="70">
        <v>0</v>
      </c>
      <c r="G461" s="71">
        <f t="shared" si="21"/>
        <v>2629583941</v>
      </c>
      <c r="H461" s="60">
        <v>0</v>
      </c>
      <c r="I461" s="72"/>
    </row>
    <row r="462" spans="1:9">
      <c r="A462" s="68" t="s">
        <v>17</v>
      </c>
      <c r="B462" s="69">
        <v>2001</v>
      </c>
      <c r="C462" s="70">
        <v>1034106318</v>
      </c>
      <c r="D462" s="70">
        <v>1286370885</v>
      </c>
      <c r="E462" s="70">
        <v>999827130</v>
      </c>
      <c r="F462" s="70">
        <v>0</v>
      </c>
      <c r="G462" s="71">
        <f t="shared" si="21"/>
        <v>3320304333</v>
      </c>
      <c r="H462" s="60">
        <v>0</v>
      </c>
      <c r="I462" s="72"/>
    </row>
    <row r="463" spans="1:9">
      <c r="A463" s="68" t="s">
        <v>17</v>
      </c>
      <c r="B463" s="69">
        <v>2002</v>
      </c>
      <c r="C463" s="70">
        <v>1073349608</v>
      </c>
      <c r="D463" s="70">
        <v>1410082719</v>
      </c>
      <c r="E463" s="70">
        <v>898097907</v>
      </c>
      <c r="F463" s="70">
        <v>0</v>
      </c>
      <c r="G463" s="71">
        <f t="shared" si="21"/>
        <v>3381530234</v>
      </c>
      <c r="H463" s="60">
        <v>0</v>
      </c>
      <c r="I463" s="72"/>
    </row>
    <row r="464" spans="1:9">
      <c r="A464" s="68" t="s">
        <v>17</v>
      </c>
      <c r="B464" s="69">
        <v>2003</v>
      </c>
      <c r="C464" s="73">
        <v>1141455141</v>
      </c>
      <c r="D464" s="73">
        <v>1328408034</v>
      </c>
      <c r="E464" s="73">
        <v>936642768</v>
      </c>
      <c r="F464" s="70">
        <v>0</v>
      </c>
      <c r="G464" s="71">
        <f t="shared" si="21"/>
        <v>3406505943</v>
      </c>
      <c r="H464" s="60">
        <v>0</v>
      </c>
      <c r="I464" s="72"/>
    </row>
    <row r="465" spans="1:9">
      <c r="A465" s="68" t="s">
        <v>17</v>
      </c>
      <c r="B465" s="69">
        <v>2004</v>
      </c>
      <c r="C465" s="73">
        <v>1107634880</v>
      </c>
      <c r="D465" s="73">
        <v>1170347703</v>
      </c>
      <c r="E465" s="73">
        <v>968547951</v>
      </c>
      <c r="F465" s="70">
        <v>0</v>
      </c>
      <c r="G465" s="71">
        <f t="shared" si="21"/>
        <v>3246530534</v>
      </c>
      <c r="H465" s="60">
        <v>0</v>
      </c>
      <c r="I465" s="72"/>
    </row>
    <row r="466" spans="1:9">
      <c r="A466" s="68" t="s">
        <v>17</v>
      </c>
      <c r="B466" s="69">
        <v>2005</v>
      </c>
      <c r="C466" s="73">
        <v>1110285158</v>
      </c>
      <c r="D466" s="73">
        <v>1099669233</v>
      </c>
      <c r="E466" s="73">
        <v>1283024515.95</v>
      </c>
      <c r="F466" s="70">
        <v>0</v>
      </c>
      <c r="G466" s="71">
        <f t="shared" si="21"/>
        <v>3492978906.9499998</v>
      </c>
      <c r="H466" s="60">
        <v>0</v>
      </c>
      <c r="I466" s="72"/>
    </row>
    <row r="467" spans="1:9">
      <c r="A467" s="68" t="s">
        <v>17</v>
      </c>
      <c r="B467" s="69">
        <v>2006</v>
      </c>
      <c r="C467" s="74">
        <v>1163221523</v>
      </c>
      <c r="D467" s="74">
        <v>1247202232</v>
      </c>
      <c r="E467" s="74">
        <v>1286015510</v>
      </c>
      <c r="F467" s="74">
        <v>0</v>
      </c>
      <c r="G467" s="71">
        <f t="shared" si="21"/>
        <v>3696439265</v>
      </c>
      <c r="H467" s="60">
        <v>0</v>
      </c>
      <c r="I467" s="72"/>
    </row>
    <row r="468" spans="1:9">
      <c r="A468" s="68" t="s">
        <v>17</v>
      </c>
      <c r="B468" s="69">
        <v>2007</v>
      </c>
      <c r="C468" s="74">
        <v>1243919628</v>
      </c>
      <c r="D468" s="74">
        <v>1232775015</v>
      </c>
      <c r="E468" s="74">
        <v>1544414075</v>
      </c>
      <c r="F468" s="74">
        <v>0</v>
      </c>
      <c r="G468" s="71">
        <f t="shared" si="21"/>
        <v>4021108718</v>
      </c>
      <c r="H468" s="60">
        <v>0</v>
      </c>
      <c r="I468" s="72"/>
    </row>
    <row r="469" spans="1:9">
      <c r="A469" s="68" t="s">
        <v>17</v>
      </c>
      <c r="B469" s="69">
        <v>2008</v>
      </c>
      <c r="C469" s="74">
        <v>1257367964</v>
      </c>
      <c r="D469" s="74">
        <v>1833788112</v>
      </c>
      <c r="E469" s="74">
        <v>1553840626</v>
      </c>
      <c r="F469" s="74">
        <v>0</v>
      </c>
      <c r="G469" s="71">
        <f t="shared" si="21"/>
        <v>4644996702</v>
      </c>
      <c r="H469" s="60">
        <v>0</v>
      </c>
      <c r="I469" s="72"/>
    </row>
    <row r="470" spans="1:9">
      <c r="A470" s="68" t="s">
        <v>17</v>
      </c>
      <c r="B470" s="69">
        <v>2009</v>
      </c>
      <c r="C470" s="74">
        <v>1345992502</v>
      </c>
      <c r="D470" s="74">
        <v>1706872729</v>
      </c>
      <c r="E470" s="75">
        <v>1462517156</v>
      </c>
      <c r="F470" s="74">
        <v>0</v>
      </c>
      <c r="G470" s="71">
        <f t="shared" si="21"/>
        <v>4515382387</v>
      </c>
      <c r="H470" s="60">
        <v>0</v>
      </c>
      <c r="I470" s="72"/>
    </row>
    <row r="471" spans="1:9">
      <c r="A471" s="68" t="s">
        <v>17</v>
      </c>
      <c r="B471" s="69">
        <v>2010</v>
      </c>
      <c r="C471" s="74">
        <v>1394249614</v>
      </c>
      <c r="D471" s="74">
        <v>1399366794</v>
      </c>
      <c r="E471" s="73">
        <v>1669040768</v>
      </c>
      <c r="F471" s="74">
        <v>0</v>
      </c>
      <c r="G471" s="71">
        <f t="shared" si="21"/>
        <v>4462657176</v>
      </c>
      <c r="H471" s="60">
        <v>0</v>
      </c>
      <c r="I471" s="72"/>
    </row>
    <row r="472" spans="1:9">
      <c r="A472" s="68" t="s">
        <v>17</v>
      </c>
      <c r="B472" s="69">
        <v>2011</v>
      </c>
      <c r="C472" s="74">
        <v>1424784306</v>
      </c>
      <c r="D472" s="74">
        <v>1456098579</v>
      </c>
      <c r="E472" s="73">
        <v>1544028048.6199999</v>
      </c>
      <c r="F472" s="74">
        <v>-4</v>
      </c>
      <c r="G472" s="71">
        <f t="shared" si="21"/>
        <v>4424910929.6199999</v>
      </c>
      <c r="H472" s="60">
        <v>0</v>
      </c>
      <c r="I472" s="72"/>
    </row>
    <row r="473" spans="1:9">
      <c r="A473" s="68" t="s">
        <v>17</v>
      </c>
      <c r="B473" s="69">
        <v>2012</v>
      </c>
      <c r="C473" s="74">
        <v>1486455080</v>
      </c>
      <c r="D473" s="74">
        <v>1464591691</v>
      </c>
      <c r="E473" s="73">
        <v>3006830097</v>
      </c>
      <c r="F473" s="74">
        <v>0</v>
      </c>
      <c r="G473" s="71">
        <f t="shared" si="21"/>
        <v>5957876868</v>
      </c>
      <c r="H473" s="60">
        <v>0</v>
      </c>
      <c r="I473" s="72"/>
    </row>
    <row r="474" spans="1:9">
      <c r="A474" s="68"/>
      <c r="C474" s="70"/>
      <c r="D474" s="70"/>
      <c r="E474" s="70"/>
      <c r="F474" s="70"/>
      <c r="G474" s="76"/>
      <c r="I474" s="72"/>
    </row>
    <row r="475" spans="1:9">
      <c r="A475" s="68" t="s">
        <v>18</v>
      </c>
      <c r="B475" s="69">
        <v>1988</v>
      </c>
      <c r="C475" s="70">
        <v>1061394381</v>
      </c>
      <c r="D475" s="70">
        <v>574031109</v>
      </c>
      <c r="E475" s="70">
        <v>877000957</v>
      </c>
      <c r="F475" s="70">
        <v>0</v>
      </c>
      <c r="G475" s="71">
        <f>SUM(C475:F475)</f>
        <v>2512426447</v>
      </c>
      <c r="H475" s="60">
        <v>23113640</v>
      </c>
      <c r="I475" s="72" t="s">
        <v>404</v>
      </c>
    </row>
    <row r="476" spans="1:9">
      <c r="A476" s="68" t="s">
        <v>18</v>
      </c>
      <c r="B476" s="69">
        <v>1989</v>
      </c>
      <c r="C476" s="70">
        <v>996849752</v>
      </c>
      <c r="D476" s="70">
        <v>588924864</v>
      </c>
      <c r="E476" s="70">
        <v>928692389</v>
      </c>
      <c r="F476" s="70">
        <v>0</v>
      </c>
      <c r="G476" s="71">
        <f t="shared" ref="G476:G499" si="22">SUM(C476:F476)</f>
        <v>2514467005</v>
      </c>
      <c r="H476" s="60">
        <v>23892225</v>
      </c>
      <c r="I476" s="72" t="s">
        <v>404</v>
      </c>
    </row>
    <row r="477" spans="1:9">
      <c r="A477" s="68" t="s">
        <v>18</v>
      </c>
      <c r="B477" s="69">
        <v>1990</v>
      </c>
      <c r="C477" s="70">
        <v>1018057956</v>
      </c>
      <c r="D477" s="70">
        <v>603881729.79999995</v>
      </c>
      <c r="E477" s="70">
        <v>1036157963</v>
      </c>
      <c r="F477" s="70">
        <v>0</v>
      </c>
      <c r="G477" s="71">
        <f t="shared" si="22"/>
        <v>2658097648.8000002</v>
      </c>
      <c r="H477" s="60">
        <v>26985446</v>
      </c>
      <c r="I477" s="72" t="s">
        <v>404</v>
      </c>
    </row>
    <row r="478" spans="1:9">
      <c r="A478" s="68" t="s">
        <v>18</v>
      </c>
      <c r="B478" s="69">
        <v>1991</v>
      </c>
      <c r="C478" s="70">
        <v>1121317153</v>
      </c>
      <c r="D478" s="70">
        <v>645602985</v>
      </c>
      <c r="E478" s="70">
        <v>1098008110</v>
      </c>
      <c r="F478" s="70">
        <v>0</v>
      </c>
      <c r="G478" s="71">
        <f t="shared" si="22"/>
        <v>2864928248</v>
      </c>
      <c r="H478" s="60">
        <v>33959803</v>
      </c>
      <c r="I478" s="72" t="s">
        <v>404</v>
      </c>
    </row>
    <row r="479" spans="1:9">
      <c r="A479" s="68" t="s">
        <v>18</v>
      </c>
      <c r="B479" s="69">
        <v>1992</v>
      </c>
      <c r="C479" s="70">
        <v>1178793531</v>
      </c>
      <c r="D479" s="70">
        <v>633048563.60000002</v>
      </c>
      <c r="E479" s="70">
        <v>1138258377</v>
      </c>
      <c r="F479" s="70">
        <v>0</v>
      </c>
      <c r="G479" s="71">
        <f t="shared" si="22"/>
        <v>2950100471.5999999</v>
      </c>
      <c r="H479" s="60">
        <v>43120758</v>
      </c>
      <c r="I479" s="72" t="s">
        <v>404</v>
      </c>
    </row>
    <row r="480" spans="1:9">
      <c r="A480" s="68" t="s">
        <v>18</v>
      </c>
      <c r="B480" s="69">
        <v>1993</v>
      </c>
      <c r="C480" s="70">
        <v>1248764898</v>
      </c>
      <c r="D480" s="70">
        <v>539042938</v>
      </c>
      <c r="E480" s="70">
        <v>1605901669</v>
      </c>
      <c r="F480" s="70">
        <v>0</v>
      </c>
      <c r="G480" s="71">
        <f t="shared" si="22"/>
        <v>3393709505</v>
      </c>
      <c r="H480" s="60">
        <v>41233215</v>
      </c>
      <c r="I480" s="72" t="s">
        <v>404</v>
      </c>
    </row>
    <row r="481" spans="1:9">
      <c r="A481" s="68" t="s">
        <v>18</v>
      </c>
      <c r="B481" s="69">
        <v>1994</v>
      </c>
      <c r="C481" s="70">
        <v>1300073287</v>
      </c>
      <c r="D481" s="70">
        <v>723268656</v>
      </c>
      <c r="E481" s="70">
        <v>1463024597</v>
      </c>
      <c r="F481" s="70">
        <v>0</v>
      </c>
      <c r="G481" s="71">
        <f t="shared" si="22"/>
        <v>3486366540</v>
      </c>
      <c r="H481" s="60">
        <v>44926928</v>
      </c>
      <c r="I481" s="72" t="s">
        <v>404</v>
      </c>
    </row>
    <row r="482" spans="1:9">
      <c r="A482" s="68" t="s">
        <v>18</v>
      </c>
      <c r="B482" s="69">
        <v>1995</v>
      </c>
      <c r="C482" s="70">
        <v>1379843512</v>
      </c>
      <c r="D482" s="70">
        <v>716707593</v>
      </c>
      <c r="E482" s="70">
        <v>1458342180</v>
      </c>
      <c r="F482" s="70">
        <v>0</v>
      </c>
      <c r="G482" s="71">
        <f t="shared" si="22"/>
        <v>3554893285</v>
      </c>
      <c r="H482" s="60">
        <v>55557500</v>
      </c>
      <c r="I482" s="72" t="s">
        <v>404</v>
      </c>
    </row>
    <row r="483" spans="1:9">
      <c r="A483" s="68" t="s">
        <v>18</v>
      </c>
      <c r="B483" s="69">
        <v>1996</v>
      </c>
      <c r="C483" s="70">
        <v>1339112500</v>
      </c>
      <c r="D483" s="70">
        <v>642737918</v>
      </c>
      <c r="E483" s="70">
        <v>1448410476</v>
      </c>
      <c r="F483" s="70">
        <v>0</v>
      </c>
      <c r="G483" s="71">
        <f t="shared" si="22"/>
        <v>3430260894</v>
      </c>
      <c r="H483" s="60">
        <v>44304022</v>
      </c>
      <c r="I483" s="72" t="s">
        <v>404</v>
      </c>
    </row>
    <row r="484" spans="1:9">
      <c r="A484" s="68" t="s">
        <v>18</v>
      </c>
      <c r="B484" s="69">
        <v>1997</v>
      </c>
      <c r="C484" s="70">
        <v>1300752300</v>
      </c>
      <c r="D484" s="70">
        <v>807107035</v>
      </c>
      <c r="E484" s="70">
        <v>1433423516</v>
      </c>
      <c r="F484" s="70">
        <v>0</v>
      </c>
      <c r="G484" s="71">
        <f t="shared" si="22"/>
        <v>3541282851</v>
      </c>
      <c r="H484" s="60">
        <v>56147744</v>
      </c>
      <c r="I484" s="72" t="s">
        <v>404</v>
      </c>
    </row>
    <row r="485" spans="1:9">
      <c r="A485" s="68" t="s">
        <v>18</v>
      </c>
      <c r="B485" s="69">
        <v>1998</v>
      </c>
      <c r="C485" s="70">
        <v>1309920109</v>
      </c>
      <c r="D485" s="70">
        <v>694905543</v>
      </c>
      <c r="E485" s="70">
        <v>1478605295</v>
      </c>
      <c r="F485" s="70">
        <v>0</v>
      </c>
      <c r="G485" s="71">
        <f t="shared" si="22"/>
        <v>3483430947</v>
      </c>
      <c r="H485" s="60">
        <v>47810828</v>
      </c>
      <c r="I485" s="72" t="s">
        <v>404</v>
      </c>
    </row>
    <row r="486" spans="1:9">
      <c r="A486" s="68" t="s">
        <v>18</v>
      </c>
      <c r="B486" s="69">
        <v>1999</v>
      </c>
      <c r="C486" s="70">
        <v>1337413680</v>
      </c>
      <c r="D486" s="70">
        <v>1000942545</v>
      </c>
      <c r="E486" s="70">
        <v>1503860088</v>
      </c>
      <c r="F486" s="70">
        <v>0</v>
      </c>
      <c r="G486" s="71">
        <f t="shared" si="22"/>
        <v>3842216313</v>
      </c>
      <c r="H486" s="60">
        <v>44644228</v>
      </c>
      <c r="I486" s="72" t="s">
        <v>404</v>
      </c>
    </row>
    <row r="487" spans="1:9">
      <c r="A487" s="68" t="s">
        <v>18</v>
      </c>
      <c r="B487" s="69">
        <v>2000</v>
      </c>
      <c r="C487" s="70">
        <v>1325312652</v>
      </c>
      <c r="D487" s="70">
        <v>1111178644</v>
      </c>
      <c r="E487" s="70">
        <v>1588295172</v>
      </c>
      <c r="F487" s="70">
        <v>0</v>
      </c>
      <c r="G487" s="71">
        <f t="shared" si="22"/>
        <v>4024786468</v>
      </c>
      <c r="H487" s="60">
        <v>64531917</v>
      </c>
      <c r="I487" s="72" t="s">
        <v>404</v>
      </c>
    </row>
    <row r="488" spans="1:9">
      <c r="A488" s="68" t="s">
        <v>18</v>
      </c>
      <c r="B488" s="69">
        <v>2001</v>
      </c>
      <c r="C488" s="70">
        <v>1416242656</v>
      </c>
      <c r="D488" s="70">
        <v>1539052777.52</v>
      </c>
      <c r="E488" s="70">
        <v>1735600327</v>
      </c>
      <c r="F488" s="70">
        <v>0</v>
      </c>
      <c r="G488" s="71">
        <f t="shared" si="22"/>
        <v>4690895760.5200005</v>
      </c>
      <c r="H488" s="60">
        <v>40291410</v>
      </c>
      <c r="I488" s="72" t="s">
        <v>404</v>
      </c>
    </row>
    <row r="489" spans="1:9">
      <c r="A489" s="68" t="s">
        <v>18</v>
      </c>
      <c r="B489" s="69">
        <v>2002</v>
      </c>
      <c r="C489" s="70">
        <v>1456002060</v>
      </c>
      <c r="D489" s="70">
        <v>2062519014</v>
      </c>
      <c r="E489" s="70">
        <v>1917295335</v>
      </c>
      <c r="F489" s="70">
        <v>0</v>
      </c>
      <c r="G489" s="71">
        <f t="shared" si="22"/>
        <v>5435816409</v>
      </c>
      <c r="H489" s="60">
        <v>58279507</v>
      </c>
      <c r="I489" s="72" t="s">
        <v>404</v>
      </c>
    </row>
    <row r="490" spans="1:9">
      <c r="A490" s="68" t="s">
        <v>18</v>
      </c>
      <c r="B490" s="69">
        <v>2003</v>
      </c>
      <c r="C490" s="73">
        <v>1524822170</v>
      </c>
      <c r="D490" s="73">
        <v>1800991553</v>
      </c>
      <c r="E490" s="73">
        <v>2153187282</v>
      </c>
      <c r="F490" s="70">
        <v>0</v>
      </c>
      <c r="G490" s="71">
        <f t="shared" si="22"/>
        <v>5479001005</v>
      </c>
      <c r="H490" s="60">
        <v>59892340</v>
      </c>
      <c r="I490" s="60" t="s">
        <v>404</v>
      </c>
    </row>
    <row r="491" spans="1:9">
      <c r="A491" s="68" t="s">
        <v>18</v>
      </c>
      <c r="B491" s="69">
        <v>2004</v>
      </c>
      <c r="C491" s="73">
        <v>1578036517</v>
      </c>
      <c r="D491" s="73">
        <v>1592187156</v>
      </c>
      <c r="E491" s="73">
        <v>2325327647</v>
      </c>
      <c r="F491" s="70">
        <v>0</v>
      </c>
      <c r="G491" s="71">
        <f t="shared" si="22"/>
        <v>5495551320</v>
      </c>
      <c r="H491" s="60">
        <v>73114604</v>
      </c>
      <c r="I491" s="60" t="s">
        <v>404</v>
      </c>
    </row>
    <row r="492" spans="1:9">
      <c r="A492" s="68" t="s">
        <v>18</v>
      </c>
      <c r="B492" s="69">
        <v>2005</v>
      </c>
      <c r="C492" s="73">
        <v>1527128731</v>
      </c>
      <c r="D492" s="73">
        <v>1518473870</v>
      </c>
      <c r="E492" s="73">
        <v>2498862100.9699998</v>
      </c>
      <c r="F492" s="70">
        <v>0</v>
      </c>
      <c r="G492" s="71">
        <f t="shared" si="22"/>
        <v>5544464701.9699993</v>
      </c>
      <c r="H492" s="60">
        <v>44776614</v>
      </c>
      <c r="I492" s="60" t="s">
        <v>404</v>
      </c>
    </row>
    <row r="493" spans="1:9">
      <c r="A493" s="68" t="s">
        <v>18</v>
      </c>
      <c r="B493" s="69">
        <v>2006</v>
      </c>
      <c r="C493" s="74">
        <v>1651237114</v>
      </c>
      <c r="D493" s="74">
        <v>1979208982</v>
      </c>
      <c r="E493" s="74">
        <v>2791842343</v>
      </c>
      <c r="F493" s="74">
        <v>0</v>
      </c>
      <c r="G493" s="71">
        <f t="shared" si="22"/>
        <v>6422288439</v>
      </c>
      <c r="H493" s="60">
        <v>144996081</v>
      </c>
      <c r="I493" s="60" t="s">
        <v>404</v>
      </c>
    </row>
    <row r="494" spans="1:9">
      <c r="A494" s="68" t="s">
        <v>18</v>
      </c>
      <c r="B494" s="69">
        <v>2007</v>
      </c>
      <c r="C494" s="74">
        <v>1689804172</v>
      </c>
      <c r="D494" s="74">
        <v>2113085697</v>
      </c>
      <c r="E494" s="74">
        <v>3284912188</v>
      </c>
      <c r="F494" s="74">
        <v>0</v>
      </c>
      <c r="G494" s="71">
        <f t="shared" si="22"/>
        <v>7087802057</v>
      </c>
      <c r="H494" s="60">
        <v>143070422</v>
      </c>
      <c r="I494" s="60" t="s">
        <v>404</v>
      </c>
    </row>
    <row r="495" spans="1:9">
      <c r="A495" s="68" t="s">
        <v>18</v>
      </c>
      <c r="B495" s="69">
        <v>2008</v>
      </c>
      <c r="C495" s="74">
        <v>1756605827</v>
      </c>
      <c r="D495" s="74">
        <v>2821474355</v>
      </c>
      <c r="E495" s="74">
        <v>3387327704</v>
      </c>
      <c r="F495" s="74">
        <v>0</v>
      </c>
      <c r="G495" s="71">
        <f t="shared" si="22"/>
        <v>7965407886</v>
      </c>
      <c r="H495" s="60">
        <v>162579442</v>
      </c>
      <c r="I495" s="60" t="s">
        <v>404</v>
      </c>
    </row>
    <row r="496" spans="1:9">
      <c r="A496" s="68" t="s">
        <v>18</v>
      </c>
      <c r="B496" s="69">
        <v>2009</v>
      </c>
      <c r="C496" s="74">
        <v>1884497023</v>
      </c>
      <c r="D496" s="74">
        <v>2433815966</v>
      </c>
      <c r="E496" s="74">
        <v>3465561550</v>
      </c>
      <c r="F496" s="74">
        <v>0</v>
      </c>
      <c r="G496" s="71">
        <f t="shared" si="22"/>
        <v>7783874539</v>
      </c>
      <c r="H496" s="60">
        <v>124690898</v>
      </c>
      <c r="I496" s="60" t="s">
        <v>404</v>
      </c>
    </row>
    <row r="497" spans="1:9">
      <c r="A497" s="68" t="s">
        <v>18</v>
      </c>
      <c r="B497" s="69">
        <v>2010</v>
      </c>
      <c r="C497" s="74">
        <v>1985231181</v>
      </c>
      <c r="D497" s="75">
        <v>2079835353</v>
      </c>
      <c r="E497" s="74">
        <v>3624239225</v>
      </c>
      <c r="F497" s="74">
        <v>0</v>
      </c>
      <c r="G497" s="71">
        <f t="shared" si="22"/>
        <v>7689305759</v>
      </c>
      <c r="H497" s="60">
        <v>124900532</v>
      </c>
      <c r="I497" s="60" t="s">
        <v>404</v>
      </c>
    </row>
    <row r="498" spans="1:9">
      <c r="A498" s="68" t="s">
        <v>18</v>
      </c>
      <c r="B498" s="69">
        <v>2011</v>
      </c>
      <c r="C498" s="74">
        <v>2024088654</v>
      </c>
      <c r="D498" s="75">
        <v>2198513841</v>
      </c>
      <c r="E498" s="74">
        <v>3560278143.25</v>
      </c>
      <c r="F498" s="74">
        <v>0</v>
      </c>
      <c r="G498" s="71">
        <f t="shared" si="22"/>
        <v>7782880638.25</v>
      </c>
      <c r="H498" s="60">
        <v>131535014</v>
      </c>
      <c r="I498" s="60" t="s">
        <v>404</v>
      </c>
    </row>
    <row r="499" spans="1:9">
      <c r="A499" s="68" t="s">
        <v>18</v>
      </c>
      <c r="B499" s="69">
        <v>2012</v>
      </c>
      <c r="C499" s="74">
        <v>2078046849</v>
      </c>
      <c r="D499" s="75">
        <v>2253251827</v>
      </c>
      <c r="E499" s="74">
        <v>3705288312</v>
      </c>
      <c r="F499" s="74">
        <v>0</v>
      </c>
      <c r="G499" s="71">
        <f t="shared" si="22"/>
        <v>8036586988</v>
      </c>
      <c r="H499" s="60">
        <v>110850426</v>
      </c>
      <c r="I499" s="60" t="s">
        <v>404</v>
      </c>
    </row>
    <row r="500" spans="1:9">
      <c r="A500" s="68"/>
      <c r="C500" s="70"/>
      <c r="D500" s="70"/>
      <c r="E500" s="70"/>
      <c r="F500" s="70"/>
      <c r="G500" s="76"/>
      <c r="I500" s="72"/>
    </row>
    <row r="501" spans="1:9">
      <c r="A501" s="68" t="s">
        <v>19</v>
      </c>
      <c r="B501" s="69">
        <v>1988</v>
      </c>
      <c r="C501" s="70">
        <v>205589438</v>
      </c>
      <c r="D501" s="70">
        <v>143683665</v>
      </c>
      <c r="E501" s="70">
        <v>258670567</v>
      </c>
      <c r="F501" s="70">
        <v>46145929</v>
      </c>
      <c r="G501" s="71">
        <f>SUM(C501:F501)</f>
        <v>654089599</v>
      </c>
      <c r="H501" s="60">
        <v>0</v>
      </c>
      <c r="I501" s="72"/>
    </row>
    <row r="502" spans="1:9">
      <c r="A502" s="68" t="s">
        <v>19</v>
      </c>
      <c r="B502" s="69">
        <v>1989</v>
      </c>
      <c r="C502" s="70">
        <v>202478234</v>
      </c>
      <c r="D502" s="70">
        <v>166195355</v>
      </c>
      <c r="E502" s="70">
        <v>290326059</v>
      </c>
      <c r="F502" s="70">
        <v>70395054</v>
      </c>
      <c r="G502" s="71">
        <f t="shared" ref="G502:G525" si="23">SUM(C502:F502)</f>
        <v>729394702</v>
      </c>
      <c r="H502" s="60">
        <v>0</v>
      </c>
      <c r="I502" s="72"/>
    </row>
    <row r="503" spans="1:9">
      <c r="A503" s="68" t="s">
        <v>19</v>
      </c>
      <c r="B503" s="69">
        <v>1990</v>
      </c>
      <c r="C503" s="70">
        <v>211356731</v>
      </c>
      <c r="D503" s="70">
        <v>222695205.59999999</v>
      </c>
      <c r="E503" s="70">
        <v>312504647</v>
      </c>
      <c r="F503" s="70">
        <v>43039290</v>
      </c>
      <c r="G503" s="71">
        <f t="shared" si="23"/>
        <v>789595873.60000002</v>
      </c>
      <c r="H503" s="60">
        <v>0</v>
      </c>
      <c r="I503" s="72"/>
    </row>
    <row r="504" spans="1:9">
      <c r="A504" s="68" t="s">
        <v>19</v>
      </c>
      <c r="B504" s="69">
        <v>1991</v>
      </c>
      <c r="C504" s="70">
        <v>222499783</v>
      </c>
      <c r="D504" s="70">
        <v>168234474</v>
      </c>
      <c r="E504" s="70">
        <v>350523624</v>
      </c>
      <c r="F504" s="70">
        <v>69681202</v>
      </c>
      <c r="G504" s="71">
        <f t="shared" si="23"/>
        <v>810939083</v>
      </c>
      <c r="H504" s="60">
        <v>0</v>
      </c>
      <c r="I504" s="72"/>
    </row>
    <row r="505" spans="1:9">
      <c r="A505" s="68" t="s">
        <v>19</v>
      </c>
      <c r="B505" s="69">
        <v>1992</v>
      </c>
      <c r="C505" s="70">
        <v>236125111</v>
      </c>
      <c r="D505" s="70">
        <v>204375145.52000001</v>
      </c>
      <c r="E505" s="70">
        <v>352638718</v>
      </c>
      <c r="F505" s="70">
        <v>40121545</v>
      </c>
      <c r="G505" s="71">
        <f t="shared" si="23"/>
        <v>833260519.51999998</v>
      </c>
      <c r="H505" s="60">
        <v>0</v>
      </c>
      <c r="I505" s="72"/>
    </row>
    <row r="506" spans="1:9">
      <c r="A506" s="68" t="s">
        <v>19</v>
      </c>
      <c r="B506" s="69">
        <v>1993</v>
      </c>
      <c r="C506" s="70">
        <v>238318364</v>
      </c>
      <c r="D506" s="70">
        <v>172138858</v>
      </c>
      <c r="E506" s="70">
        <v>322976510</v>
      </c>
      <c r="F506" s="70">
        <v>55186025</v>
      </c>
      <c r="G506" s="71">
        <f t="shared" si="23"/>
        <v>788619757</v>
      </c>
      <c r="H506" s="60">
        <v>0</v>
      </c>
      <c r="I506" s="72"/>
    </row>
    <row r="507" spans="1:9">
      <c r="A507" s="68" t="s">
        <v>19</v>
      </c>
      <c r="B507" s="69">
        <v>1994</v>
      </c>
      <c r="C507" s="70">
        <v>248769967</v>
      </c>
      <c r="D507" s="70">
        <v>244794929</v>
      </c>
      <c r="E507" s="70">
        <v>329123557</v>
      </c>
      <c r="F507" s="70">
        <v>67038506</v>
      </c>
      <c r="G507" s="71">
        <f t="shared" si="23"/>
        <v>889726959</v>
      </c>
      <c r="H507" s="60">
        <v>0</v>
      </c>
      <c r="I507" s="72"/>
    </row>
    <row r="508" spans="1:9">
      <c r="A508" s="68" t="s">
        <v>19</v>
      </c>
      <c r="B508" s="69">
        <v>1995</v>
      </c>
      <c r="C508" s="70">
        <v>270300977</v>
      </c>
      <c r="D508" s="70">
        <v>250045083</v>
      </c>
      <c r="E508" s="70">
        <v>348737618</v>
      </c>
      <c r="F508" s="70">
        <v>71961672</v>
      </c>
      <c r="G508" s="71">
        <f t="shared" si="23"/>
        <v>941045350</v>
      </c>
      <c r="H508" s="60">
        <v>0</v>
      </c>
      <c r="I508" s="72"/>
    </row>
    <row r="509" spans="1:9">
      <c r="A509" s="68" t="s">
        <v>19</v>
      </c>
      <c r="B509" s="69">
        <v>1996</v>
      </c>
      <c r="C509" s="70">
        <v>266662231</v>
      </c>
      <c r="D509" s="70">
        <v>195967922</v>
      </c>
      <c r="E509" s="70">
        <v>353848307</v>
      </c>
      <c r="F509" s="70">
        <v>114182473</v>
      </c>
      <c r="G509" s="71">
        <f t="shared" si="23"/>
        <v>930660933</v>
      </c>
      <c r="H509" s="60">
        <v>0</v>
      </c>
      <c r="I509" s="72"/>
    </row>
    <row r="510" spans="1:9">
      <c r="A510" s="68" t="s">
        <v>19</v>
      </c>
      <c r="B510" s="69">
        <v>1997</v>
      </c>
      <c r="C510" s="70">
        <v>284860385</v>
      </c>
      <c r="D510" s="70">
        <v>264033487</v>
      </c>
      <c r="E510" s="70">
        <v>333331361</v>
      </c>
      <c r="F510" s="70">
        <v>19887348</v>
      </c>
      <c r="G510" s="71">
        <f t="shared" si="23"/>
        <v>902112581</v>
      </c>
      <c r="H510" s="60">
        <v>0</v>
      </c>
      <c r="I510" s="72"/>
    </row>
    <row r="511" spans="1:9">
      <c r="A511" s="68" t="s">
        <v>19</v>
      </c>
      <c r="B511" s="69">
        <v>1998</v>
      </c>
      <c r="C511" s="70">
        <v>266013103</v>
      </c>
      <c r="D511" s="70">
        <v>251185254</v>
      </c>
      <c r="E511" s="70">
        <v>319592654</v>
      </c>
      <c r="F511" s="70">
        <v>150662978</v>
      </c>
      <c r="G511" s="71">
        <f t="shared" si="23"/>
        <v>987453989</v>
      </c>
      <c r="H511" s="60">
        <v>0</v>
      </c>
      <c r="I511" s="72"/>
    </row>
    <row r="512" spans="1:9">
      <c r="A512" s="68" t="s">
        <v>19</v>
      </c>
      <c r="B512" s="69">
        <v>1999</v>
      </c>
      <c r="C512" s="70">
        <v>348461472</v>
      </c>
      <c r="D512" s="70">
        <v>290690820</v>
      </c>
      <c r="E512" s="70">
        <v>328367163</v>
      </c>
      <c r="F512" s="70">
        <v>50073932</v>
      </c>
      <c r="G512" s="71">
        <f t="shared" si="23"/>
        <v>1017593387</v>
      </c>
      <c r="H512" s="60">
        <v>0</v>
      </c>
      <c r="I512" s="72"/>
    </row>
    <row r="513" spans="1:9">
      <c r="A513" s="68" t="s">
        <v>19</v>
      </c>
      <c r="B513" s="69">
        <v>2000</v>
      </c>
      <c r="C513" s="70">
        <v>297620356</v>
      </c>
      <c r="D513" s="70">
        <v>356673168</v>
      </c>
      <c r="E513" s="70">
        <v>315050368</v>
      </c>
      <c r="F513" s="70">
        <v>25000729</v>
      </c>
      <c r="G513" s="71">
        <f t="shared" si="23"/>
        <v>994344621</v>
      </c>
      <c r="H513" s="60">
        <v>0</v>
      </c>
      <c r="I513" s="72"/>
    </row>
    <row r="514" spans="1:9">
      <c r="A514" s="68" t="s">
        <v>19</v>
      </c>
      <c r="B514" s="69">
        <v>2001</v>
      </c>
      <c r="C514" s="70">
        <v>282813848</v>
      </c>
      <c r="D514" s="70">
        <v>405279312</v>
      </c>
      <c r="E514" s="70">
        <v>323524951</v>
      </c>
      <c r="F514" s="70">
        <v>37673601</v>
      </c>
      <c r="G514" s="71">
        <f t="shared" si="23"/>
        <v>1049291712</v>
      </c>
      <c r="H514" s="60">
        <v>0</v>
      </c>
      <c r="I514" s="72"/>
    </row>
    <row r="515" spans="1:9">
      <c r="A515" s="68" t="s">
        <v>19</v>
      </c>
      <c r="B515" s="69">
        <v>2002</v>
      </c>
      <c r="C515" s="70">
        <v>334023655</v>
      </c>
      <c r="D515" s="70">
        <v>640376252</v>
      </c>
      <c r="E515" s="70">
        <v>364934677</v>
      </c>
      <c r="F515" s="70">
        <v>32454741</v>
      </c>
      <c r="G515" s="71">
        <f t="shared" si="23"/>
        <v>1371789325</v>
      </c>
      <c r="H515" s="60">
        <v>0</v>
      </c>
      <c r="I515" s="72"/>
    </row>
    <row r="516" spans="1:9">
      <c r="A516" s="68" t="s">
        <v>19</v>
      </c>
      <c r="B516" s="69">
        <v>2003</v>
      </c>
      <c r="C516" s="73">
        <v>320072923</v>
      </c>
      <c r="D516" s="73">
        <v>522887967</v>
      </c>
      <c r="E516" s="73">
        <v>371570538</v>
      </c>
      <c r="F516" s="73">
        <v>50152412</v>
      </c>
      <c r="G516" s="71">
        <f t="shared" si="23"/>
        <v>1264683840</v>
      </c>
      <c r="H516" s="60">
        <v>0</v>
      </c>
      <c r="I516" s="72"/>
    </row>
    <row r="517" spans="1:9">
      <c r="A517" s="68" t="s">
        <v>19</v>
      </c>
      <c r="B517" s="69">
        <v>2004</v>
      </c>
      <c r="C517" s="73">
        <v>311301627</v>
      </c>
      <c r="D517" s="73">
        <v>439715909</v>
      </c>
      <c r="E517" s="73">
        <v>399355879</v>
      </c>
      <c r="F517" s="73">
        <v>55627947</v>
      </c>
      <c r="G517" s="71">
        <f t="shared" si="23"/>
        <v>1206001362</v>
      </c>
      <c r="H517" s="60">
        <v>0</v>
      </c>
    </row>
    <row r="518" spans="1:9">
      <c r="A518" s="68" t="s">
        <v>19</v>
      </c>
      <c r="B518" s="69">
        <v>2005</v>
      </c>
      <c r="C518" s="73">
        <v>348452634</v>
      </c>
      <c r="D518" s="73">
        <v>375814326</v>
      </c>
      <c r="E518" s="73">
        <v>495094180.76999903</v>
      </c>
      <c r="F518" s="73">
        <v>0</v>
      </c>
      <c r="G518" s="71">
        <f t="shared" si="23"/>
        <v>1219361140.769999</v>
      </c>
      <c r="H518" s="60">
        <v>0</v>
      </c>
    </row>
    <row r="519" spans="1:9">
      <c r="A519" s="68" t="s">
        <v>19</v>
      </c>
      <c r="B519" s="69">
        <v>2006</v>
      </c>
      <c r="C519" s="74">
        <v>335928198</v>
      </c>
      <c r="D519" s="74">
        <v>382858325</v>
      </c>
      <c r="E519" s="74">
        <v>614238997</v>
      </c>
      <c r="F519" s="74">
        <v>0</v>
      </c>
      <c r="G519" s="71">
        <f t="shared" si="23"/>
        <v>1333025520</v>
      </c>
      <c r="H519" s="60">
        <v>0</v>
      </c>
    </row>
    <row r="520" spans="1:9">
      <c r="A520" s="68" t="s">
        <v>19</v>
      </c>
      <c r="B520" s="69">
        <v>2007</v>
      </c>
      <c r="C520" s="74">
        <v>370265342</v>
      </c>
      <c r="D520" s="74">
        <v>453329640</v>
      </c>
      <c r="E520" s="74">
        <v>759775549</v>
      </c>
      <c r="F520" s="74">
        <v>0</v>
      </c>
      <c r="G520" s="71">
        <f t="shared" si="23"/>
        <v>1583370531</v>
      </c>
      <c r="H520" s="60">
        <v>0</v>
      </c>
    </row>
    <row r="521" spans="1:9">
      <c r="A521" s="68" t="s">
        <v>19</v>
      </c>
      <c r="B521" s="69">
        <v>2008</v>
      </c>
      <c r="C521" s="74">
        <v>378249617</v>
      </c>
      <c r="D521" s="74">
        <v>748592595</v>
      </c>
      <c r="E521" s="74">
        <v>934417918</v>
      </c>
      <c r="F521" s="74">
        <v>0</v>
      </c>
      <c r="G521" s="71">
        <f t="shared" si="23"/>
        <v>2061260130</v>
      </c>
      <c r="H521" s="60">
        <v>0</v>
      </c>
    </row>
    <row r="522" spans="1:9">
      <c r="A522" s="68" t="s">
        <v>19</v>
      </c>
      <c r="B522" s="69">
        <v>2009</v>
      </c>
      <c r="C522" s="74">
        <v>376299271</v>
      </c>
      <c r="D522" s="74">
        <v>635147204</v>
      </c>
      <c r="E522" s="74">
        <v>1461212242</v>
      </c>
      <c r="F522" s="74">
        <v>0</v>
      </c>
      <c r="G522" s="71">
        <f t="shared" si="23"/>
        <v>2472658717</v>
      </c>
      <c r="H522" s="60">
        <v>2016321</v>
      </c>
      <c r="I522" s="60" t="s">
        <v>402</v>
      </c>
    </row>
    <row r="523" spans="1:9">
      <c r="A523" s="68" t="s">
        <v>19</v>
      </c>
      <c r="B523" s="69">
        <v>2010</v>
      </c>
      <c r="C523" s="74">
        <v>408408080</v>
      </c>
      <c r="D523" s="75">
        <v>560169643</v>
      </c>
      <c r="E523" s="74">
        <v>1622108827</v>
      </c>
      <c r="F523" s="74">
        <v>0</v>
      </c>
      <c r="G523" s="71">
        <f t="shared" si="23"/>
        <v>2590686550</v>
      </c>
      <c r="H523" s="60">
        <f>2238767</f>
        <v>2238767</v>
      </c>
      <c r="I523" s="60" t="s">
        <v>402</v>
      </c>
    </row>
    <row r="524" spans="1:9">
      <c r="A524" s="68" t="s">
        <v>19</v>
      </c>
      <c r="B524" s="69">
        <v>2011</v>
      </c>
      <c r="C524" s="74">
        <v>429568480</v>
      </c>
      <c r="D524" s="75">
        <v>540286662</v>
      </c>
      <c r="E524" s="74">
        <v>1721187580.51</v>
      </c>
      <c r="F524" s="74">
        <v>0</v>
      </c>
      <c r="G524" s="71">
        <f t="shared" si="23"/>
        <v>2691042722.5100002</v>
      </c>
      <c r="H524" s="60">
        <v>186665</v>
      </c>
      <c r="I524" s="60" t="s">
        <v>402</v>
      </c>
    </row>
    <row r="525" spans="1:9">
      <c r="A525" s="68" t="s">
        <v>19</v>
      </c>
      <c r="B525" s="69">
        <v>2012</v>
      </c>
      <c r="C525" s="74">
        <v>428345193</v>
      </c>
      <c r="D525" s="75">
        <v>693163890</v>
      </c>
      <c r="E525" s="74">
        <v>2028998396</v>
      </c>
      <c r="F525" s="74">
        <v>0</v>
      </c>
      <c r="G525" s="71">
        <f t="shared" si="23"/>
        <v>3150507479</v>
      </c>
      <c r="H525" s="60">
        <v>464155</v>
      </c>
      <c r="I525" s="60" t="s">
        <v>402</v>
      </c>
    </row>
    <row r="526" spans="1:9">
      <c r="A526" s="68"/>
      <c r="C526" s="70"/>
      <c r="D526" s="70"/>
      <c r="E526" s="70"/>
      <c r="F526" s="70"/>
      <c r="G526" s="76"/>
      <c r="I526" s="72"/>
    </row>
    <row r="527" spans="1:9">
      <c r="A527" s="68" t="s">
        <v>20</v>
      </c>
      <c r="B527" s="69">
        <v>1988</v>
      </c>
      <c r="C527" s="70">
        <v>1100513137</v>
      </c>
      <c r="D527" s="70">
        <v>733179846</v>
      </c>
      <c r="E527" s="70">
        <v>1872016098</v>
      </c>
      <c r="F527" s="70">
        <v>0</v>
      </c>
      <c r="G527" s="71">
        <f>SUM(C527:F527)</f>
        <v>3705709081</v>
      </c>
      <c r="H527" s="60">
        <v>0</v>
      </c>
      <c r="I527" s="72"/>
    </row>
    <row r="528" spans="1:9">
      <c r="A528" s="68" t="s">
        <v>20</v>
      </c>
      <c r="B528" s="69">
        <v>1989</v>
      </c>
      <c r="C528" s="70">
        <v>1145229975</v>
      </c>
      <c r="D528" s="70">
        <v>921665068</v>
      </c>
      <c r="E528" s="70">
        <v>1988481174</v>
      </c>
      <c r="F528" s="70">
        <v>0</v>
      </c>
      <c r="G528" s="71">
        <f t="shared" ref="G528:G551" si="24">SUM(C528:F528)</f>
        <v>4055376217</v>
      </c>
      <c r="H528" s="60">
        <v>0</v>
      </c>
      <c r="I528" s="72"/>
    </row>
    <row r="529" spans="1:9">
      <c r="A529" s="68" t="s">
        <v>20</v>
      </c>
      <c r="B529" s="69">
        <v>1990</v>
      </c>
      <c r="C529" s="70">
        <v>1191463774</v>
      </c>
      <c r="D529" s="70">
        <v>1117302797.52</v>
      </c>
      <c r="E529" s="70">
        <v>2144409308</v>
      </c>
      <c r="F529" s="70">
        <v>0</v>
      </c>
      <c r="G529" s="71">
        <f t="shared" si="24"/>
        <v>4453175879.5200005</v>
      </c>
      <c r="H529" s="60">
        <v>0</v>
      </c>
      <c r="I529" s="72"/>
    </row>
    <row r="530" spans="1:9">
      <c r="A530" s="68" t="s">
        <v>20</v>
      </c>
      <c r="B530" s="69">
        <v>1991</v>
      </c>
      <c r="C530" s="70">
        <v>1263365695</v>
      </c>
      <c r="D530" s="70">
        <v>1005736364</v>
      </c>
      <c r="E530" s="70">
        <v>1745723567</v>
      </c>
      <c r="F530" s="70">
        <v>0</v>
      </c>
      <c r="G530" s="71">
        <f t="shared" si="24"/>
        <v>4014825626</v>
      </c>
      <c r="H530" s="60">
        <v>0</v>
      </c>
      <c r="I530" s="72"/>
    </row>
    <row r="531" spans="1:9">
      <c r="A531" s="68" t="s">
        <v>20</v>
      </c>
      <c r="B531" s="69">
        <v>1992</v>
      </c>
      <c r="C531" s="70">
        <v>1358123602</v>
      </c>
      <c r="D531" s="70">
        <v>1369609901.6400001</v>
      </c>
      <c r="E531" s="70">
        <v>1635054709</v>
      </c>
      <c r="F531" s="70">
        <v>0</v>
      </c>
      <c r="G531" s="71">
        <f t="shared" si="24"/>
        <v>4362788212.6400003</v>
      </c>
      <c r="H531" s="60">
        <v>0</v>
      </c>
      <c r="I531" s="72"/>
    </row>
    <row r="532" spans="1:9">
      <c r="A532" s="68" t="s">
        <v>20</v>
      </c>
      <c r="B532" s="69">
        <v>1993</v>
      </c>
      <c r="C532" s="70">
        <v>1358348908</v>
      </c>
      <c r="D532" s="70">
        <v>1012867979</v>
      </c>
      <c r="E532" s="70">
        <v>1659545557</v>
      </c>
      <c r="F532" s="70">
        <v>0</v>
      </c>
      <c r="G532" s="71">
        <f t="shared" si="24"/>
        <v>4030762444</v>
      </c>
      <c r="H532" s="60">
        <v>0</v>
      </c>
      <c r="I532" s="72"/>
    </row>
    <row r="533" spans="1:9">
      <c r="A533" s="68" t="s">
        <v>20</v>
      </c>
      <c r="B533" s="69">
        <v>1994</v>
      </c>
      <c r="C533" s="70">
        <v>1405794797</v>
      </c>
      <c r="D533" s="70">
        <v>1228124274</v>
      </c>
      <c r="E533" s="70">
        <v>1638518200</v>
      </c>
      <c r="F533" s="70">
        <v>0</v>
      </c>
      <c r="G533" s="71">
        <f t="shared" si="24"/>
        <v>4272437271</v>
      </c>
      <c r="H533" s="60">
        <v>0</v>
      </c>
      <c r="I533" s="72"/>
    </row>
    <row r="534" spans="1:9">
      <c r="A534" s="68" t="s">
        <v>20</v>
      </c>
      <c r="B534" s="69">
        <v>1995</v>
      </c>
      <c r="C534" s="70">
        <v>1517772500</v>
      </c>
      <c r="D534" s="70">
        <v>1209099674</v>
      </c>
      <c r="E534" s="70">
        <v>1645912453</v>
      </c>
      <c r="F534" s="70">
        <v>0</v>
      </c>
      <c r="G534" s="71">
        <f t="shared" si="24"/>
        <v>4372784627</v>
      </c>
      <c r="H534" s="60">
        <v>0</v>
      </c>
      <c r="I534" s="72"/>
    </row>
    <row r="535" spans="1:9">
      <c r="A535" s="68" t="s">
        <v>20</v>
      </c>
      <c r="B535" s="69">
        <v>1996</v>
      </c>
      <c r="C535" s="70">
        <v>1632127857</v>
      </c>
      <c r="D535" s="70">
        <v>1080298182</v>
      </c>
      <c r="E535" s="70">
        <v>1637026483</v>
      </c>
      <c r="F535" s="70">
        <v>0</v>
      </c>
      <c r="G535" s="71">
        <f t="shared" si="24"/>
        <v>4349452522</v>
      </c>
      <c r="H535" s="60">
        <v>0</v>
      </c>
      <c r="I535" s="72"/>
    </row>
    <row r="536" spans="1:9">
      <c r="A536" s="68" t="s">
        <v>20</v>
      </c>
      <c r="B536" s="69">
        <v>1997</v>
      </c>
      <c r="C536" s="70">
        <v>1588575292</v>
      </c>
      <c r="D536" s="70">
        <v>1024473490</v>
      </c>
      <c r="E536" s="70">
        <v>1734491700</v>
      </c>
      <c r="F536" s="70">
        <v>0</v>
      </c>
      <c r="G536" s="71">
        <f t="shared" si="24"/>
        <v>4347540482</v>
      </c>
      <c r="H536" s="60">
        <v>0</v>
      </c>
      <c r="I536" s="72"/>
    </row>
    <row r="537" spans="1:9">
      <c r="A537" s="68" t="s">
        <v>20</v>
      </c>
      <c r="B537" s="69">
        <v>1998</v>
      </c>
      <c r="C537" s="70">
        <v>1688281538</v>
      </c>
      <c r="D537" s="70">
        <v>1053738638</v>
      </c>
      <c r="E537" s="70">
        <v>1795521762</v>
      </c>
      <c r="F537" s="70">
        <v>0</v>
      </c>
      <c r="G537" s="71">
        <f t="shared" si="24"/>
        <v>4537541938</v>
      </c>
      <c r="H537" s="60">
        <v>0</v>
      </c>
      <c r="I537" s="72"/>
    </row>
    <row r="538" spans="1:9">
      <c r="A538" s="68" t="s">
        <v>20</v>
      </c>
      <c r="B538" s="69">
        <v>1999</v>
      </c>
      <c r="C538" s="70">
        <v>1552397622</v>
      </c>
      <c r="D538" s="70">
        <v>1349985708</v>
      </c>
      <c r="E538" s="70">
        <v>1935957228</v>
      </c>
      <c r="F538" s="70">
        <v>0</v>
      </c>
      <c r="G538" s="71">
        <f t="shared" si="24"/>
        <v>4838340558</v>
      </c>
      <c r="H538" s="60">
        <v>0</v>
      </c>
      <c r="I538" s="72"/>
    </row>
    <row r="539" spans="1:9">
      <c r="A539" s="68" t="s">
        <v>20</v>
      </c>
      <c r="B539" s="69">
        <v>2000</v>
      </c>
      <c r="C539" s="70">
        <v>1718273738</v>
      </c>
      <c r="D539" s="70">
        <v>1438550088</v>
      </c>
      <c r="E539" s="70">
        <v>2130025155</v>
      </c>
      <c r="F539" s="70">
        <v>0</v>
      </c>
      <c r="G539" s="71">
        <f t="shared" si="24"/>
        <v>5286848981</v>
      </c>
      <c r="H539" s="60">
        <v>0</v>
      </c>
      <c r="I539" s="72"/>
    </row>
    <row r="540" spans="1:9">
      <c r="A540" s="68" t="s">
        <v>20</v>
      </c>
      <c r="B540" s="69">
        <v>2001</v>
      </c>
      <c r="C540" s="70">
        <v>1703241352</v>
      </c>
      <c r="D540" s="70">
        <v>2078864778.2</v>
      </c>
      <c r="E540" s="70">
        <v>2254660723</v>
      </c>
      <c r="F540" s="70">
        <v>0</v>
      </c>
      <c r="G540" s="71">
        <f t="shared" si="24"/>
        <v>6036766853.1999998</v>
      </c>
      <c r="H540" s="60">
        <v>0</v>
      </c>
      <c r="I540" s="72"/>
    </row>
    <row r="541" spans="1:9">
      <c r="A541" s="68" t="s">
        <v>20</v>
      </c>
      <c r="B541" s="69">
        <v>2002</v>
      </c>
      <c r="C541" s="70">
        <v>1744145980</v>
      </c>
      <c r="D541" s="70">
        <v>2629263391</v>
      </c>
      <c r="E541" s="70">
        <v>2378845571</v>
      </c>
      <c r="F541" s="70">
        <v>0</v>
      </c>
      <c r="G541" s="71">
        <f t="shared" si="24"/>
        <v>6752254942</v>
      </c>
      <c r="H541" s="60">
        <v>0</v>
      </c>
      <c r="I541" s="72"/>
    </row>
    <row r="542" spans="1:9">
      <c r="A542" s="68" t="s">
        <v>20</v>
      </c>
      <c r="B542" s="69">
        <v>2003</v>
      </c>
      <c r="C542" s="73">
        <v>1870965444</v>
      </c>
      <c r="D542" s="73">
        <v>3097895350</v>
      </c>
      <c r="E542" s="73">
        <v>2439223032</v>
      </c>
      <c r="F542" s="70">
        <v>0</v>
      </c>
      <c r="G542" s="71">
        <f t="shared" si="24"/>
        <v>7408083826</v>
      </c>
      <c r="H542" s="60">
        <v>0</v>
      </c>
      <c r="I542" s="72"/>
    </row>
    <row r="543" spans="1:9">
      <c r="A543" s="68" t="s">
        <v>20</v>
      </c>
      <c r="B543" s="69">
        <v>2004</v>
      </c>
      <c r="C543" s="73">
        <v>1954175819</v>
      </c>
      <c r="D543" s="73">
        <v>2228188227</v>
      </c>
      <c r="E543" s="73">
        <v>2492018708</v>
      </c>
      <c r="F543" s="70">
        <v>0</v>
      </c>
      <c r="G543" s="71">
        <f t="shared" si="24"/>
        <v>6674382754</v>
      </c>
      <c r="H543" s="60">
        <v>0</v>
      </c>
    </row>
    <row r="544" spans="1:9">
      <c r="A544" s="68" t="s">
        <v>20</v>
      </c>
      <c r="B544" s="69">
        <v>2005</v>
      </c>
      <c r="C544" s="73">
        <v>1965492865</v>
      </c>
      <c r="D544" s="73">
        <v>2274841052</v>
      </c>
      <c r="E544" s="73">
        <v>2688549703.5900002</v>
      </c>
      <c r="F544" s="70">
        <v>0</v>
      </c>
      <c r="G544" s="71">
        <f t="shared" si="24"/>
        <v>6928883620.5900002</v>
      </c>
      <c r="H544" s="60">
        <v>0</v>
      </c>
    </row>
    <row r="545" spans="1:9">
      <c r="A545" s="68" t="s">
        <v>20</v>
      </c>
      <c r="B545" s="69">
        <v>2006</v>
      </c>
      <c r="C545" s="74">
        <v>2143588207</v>
      </c>
      <c r="D545" s="74">
        <v>2123976820</v>
      </c>
      <c r="E545" s="74">
        <v>3202480666</v>
      </c>
      <c r="F545" s="74">
        <v>0</v>
      </c>
      <c r="G545" s="71">
        <f t="shared" si="24"/>
        <v>7470045693</v>
      </c>
      <c r="H545" s="60">
        <v>0</v>
      </c>
    </row>
    <row r="546" spans="1:9">
      <c r="A546" s="68" t="s">
        <v>20</v>
      </c>
      <c r="B546" s="69">
        <v>2007</v>
      </c>
      <c r="C546" s="74">
        <v>2204212801</v>
      </c>
      <c r="D546" s="74">
        <v>2403527601</v>
      </c>
      <c r="E546" s="74">
        <v>3773154488</v>
      </c>
      <c r="F546" s="74">
        <v>0</v>
      </c>
      <c r="G546" s="71">
        <f t="shared" si="24"/>
        <v>8380894890</v>
      </c>
      <c r="H546" s="60">
        <v>0</v>
      </c>
    </row>
    <row r="547" spans="1:9">
      <c r="A547" s="68" t="s">
        <v>20</v>
      </c>
      <c r="B547" s="69">
        <v>2008</v>
      </c>
      <c r="C547" s="74">
        <v>2346014021</v>
      </c>
      <c r="D547" s="74">
        <v>3374285781</v>
      </c>
      <c r="E547" s="74">
        <v>3955739445</v>
      </c>
      <c r="F547" s="74">
        <v>0</v>
      </c>
      <c r="G547" s="71">
        <f t="shared" si="24"/>
        <v>9676039247</v>
      </c>
      <c r="H547" s="60">
        <v>0</v>
      </c>
    </row>
    <row r="548" spans="1:9">
      <c r="A548" s="68" t="s">
        <v>20</v>
      </c>
      <c r="B548" s="69">
        <v>2009</v>
      </c>
      <c r="C548" s="74">
        <v>2490791657</v>
      </c>
      <c r="D548" s="74">
        <v>3523331529</v>
      </c>
      <c r="E548" s="74">
        <v>4137086391</v>
      </c>
      <c r="F548" s="74">
        <v>0</v>
      </c>
      <c r="G548" s="71">
        <f t="shared" si="24"/>
        <v>10151209577</v>
      </c>
      <c r="H548" s="60">
        <v>0</v>
      </c>
    </row>
    <row r="549" spans="1:9">
      <c r="A549" s="68" t="s">
        <v>20</v>
      </c>
      <c r="B549" s="69">
        <v>2010</v>
      </c>
      <c r="C549" s="74">
        <v>2612384311</v>
      </c>
      <c r="D549" s="74">
        <v>3139196728</v>
      </c>
      <c r="E549" s="74">
        <v>4261358993</v>
      </c>
      <c r="F549" s="74">
        <v>0</v>
      </c>
      <c r="G549" s="71">
        <f t="shared" si="24"/>
        <v>10012940032</v>
      </c>
      <c r="H549" s="60">
        <v>0</v>
      </c>
    </row>
    <row r="550" spans="1:9">
      <c r="A550" s="68" t="s">
        <v>20</v>
      </c>
      <c r="B550" s="69">
        <v>2011</v>
      </c>
      <c r="C550" s="74">
        <v>2723229675</v>
      </c>
      <c r="D550" s="74">
        <v>2868331167</v>
      </c>
      <c r="E550" s="74">
        <v>4393026859.3699999</v>
      </c>
      <c r="F550" s="74">
        <v>0</v>
      </c>
      <c r="G550" s="71">
        <f t="shared" si="24"/>
        <v>9984587701.3699989</v>
      </c>
      <c r="H550" s="60">
        <v>0</v>
      </c>
    </row>
    <row r="551" spans="1:9">
      <c r="A551" s="68" t="s">
        <v>20</v>
      </c>
      <c r="B551" s="69">
        <v>2012</v>
      </c>
      <c r="C551" s="74">
        <v>2816230110</v>
      </c>
      <c r="D551" s="74">
        <v>3388564402</v>
      </c>
      <c r="E551" s="74">
        <v>4050785188</v>
      </c>
      <c r="F551" s="74">
        <v>0</v>
      </c>
      <c r="G551" s="71">
        <f t="shared" si="24"/>
        <v>10255579700</v>
      </c>
      <c r="H551" s="60">
        <v>0</v>
      </c>
    </row>
    <row r="552" spans="1:9">
      <c r="A552" s="68"/>
      <c r="C552" s="70"/>
      <c r="D552" s="70"/>
      <c r="E552" s="70"/>
      <c r="F552" s="70"/>
      <c r="G552" s="76"/>
      <c r="I552" s="72"/>
    </row>
    <row r="553" spans="1:9">
      <c r="A553" s="68" t="s">
        <v>21</v>
      </c>
      <c r="B553" s="69">
        <v>1988</v>
      </c>
      <c r="C553" s="70">
        <v>1495903361</v>
      </c>
      <c r="D553" s="70">
        <v>1449017699</v>
      </c>
      <c r="E553" s="70">
        <v>1099039902</v>
      </c>
      <c r="F553" s="70">
        <v>0</v>
      </c>
      <c r="G553" s="71">
        <f>SUM(C553:F553)</f>
        <v>4043960962</v>
      </c>
      <c r="H553" s="60">
        <v>0</v>
      </c>
      <c r="I553" s="72"/>
    </row>
    <row r="554" spans="1:9">
      <c r="A554" s="68" t="s">
        <v>21</v>
      </c>
      <c r="B554" s="69">
        <v>1989</v>
      </c>
      <c r="C554" s="70">
        <v>1474726661</v>
      </c>
      <c r="D554" s="70">
        <v>1432451148</v>
      </c>
      <c r="E554" s="70">
        <v>1227571030</v>
      </c>
      <c r="F554" s="70">
        <v>0</v>
      </c>
      <c r="G554" s="71">
        <f t="shared" ref="G554:G577" si="25">SUM(C554:F554)</f>
        <v>4134748839</v>
      </c>
      <c r="H554" s="60">
        <v>0</v>
      </c>
      <c r="I554" s="72"/>
    </row>
    <row r="555" spans="1:9">
      <c r="A555" s="68" t="s">
        <v>21</v>
      </c>
      <c r="B555" s="69">
        <v>1990</v>
      </c>
      <c r="C555" s="70">
        <v>1540835162</v>
      </c>
      <c r="D555" s="70">
        <v>2036694414.5599999</v>
      </c>
      <c r="E555" s="70">
        <v>1262552408</v>
      </c>
      <c r="F555" s="70">
        <v>0</v>
      </c>
      <c r="G555" s="71">
        <f t="shared" si="25"/>
        <v>4840081984.5599995</v>
      </c>
      <c r="H555" s="60">
        <v>0</v>
      </c>
      <c r="I555" s="72"/>
    </row>
    <row r="556" spans="1:9">
      <c r="A556" s="68" t="s">
        <v>21</v>
      </c>
      <c r="B556" s="69">
        <v>1991</v>
      </c>
      <c r="C556" s="70">
        <v>1639871965</v>
      </c>
      <c r="D556" s="70">
        <v>1557117445</v>
      </c>
      <c r="E556" s="70">
        <v>1302733826</v>
      </c>
      <c r="F556" s="70">
        <v>0</v>
      </c>
      <c r="G556" s="71">
        <f t="shared" si="25"/>
        <v>4499723236</v>
      </c>
      <c r="H556" s="60">
        <v>0</v>
      </c>
      <c r="I556" s="72"/>
    </row>
    <row r="557" spans="1:9">
      <c r="A557" s="68" t="s">
        <v>21</v>
      </c>
      <c r="B557" s="69">
        <v>1992</v>
      </c>
      <c r="C557" s="70">
        <v>1795643916</v>
      </c>
      <c r="D557" s="70">
        <v>1468916212.6800001</v>
      </c>
      <c r="E557" s="70">
        <v>1284972004</v>
      </c>
      <c r="F557" s="70">
        <v>0</v>
      </c>
      <c r="G557" s="71">
        <f t="shared" si="25"/>
        <v>4549532132.6800003</v>
      </c>
      <c r="H557" s="60">
        <v>0</v>
      </c>
      <c r="I557" s="72"/>
    </row>
    <row r="558" spans="1:9">
      <c r="A558" s="68" t="s">
        <v>21</v>
      </c>
      <c r="B558" s="69">
        <v>1993</v>
      </c>
      <c r="C558" s="70">
        <v>1773549766</v>
      </c>
      <c r="D558" s="70">
        <v>1336044258</v>
      </c>
      <c r="E558" s="70">
        <v>1306814253</v>
      </c>
      <c r="F558" s="70">
        <v>0</v>
      </c>
      <c r="G558" s="71">
        <f t="shared" si="25"/>
        <v>4416408277</v>
      </c>
      <c r="H558" s="60">
        <v>0</v>
      </c>
      <c r="I558" s="72"/>
    </row>
    <row r="559" spans="1:9">
      <c r="A559" s="68" t="s">
        <v>21</v>
      </c>
      <c r="B559" s="69">
        <v>1994</v>
      </c>
      <c r="C559" s="70">
        <v>1952761854</v>
      </c>
      <c r="D559" s="70">
        <v>1683031581</v>
      </c>
      <c r="E559" s="70">
        <v>1351159104</v>
      </c>
      <c r="F559" s="70">
        <v>0</v>
      </c>
      <c r="G559" s="71">
        <f t="shared" si="25"/>
        <v>4986952539</v>
      </c>
      <c r="H559" s="60">
        <v>0</v>
      </c>
      <c r="I559" s="72"/>
    </row>
    <row r="560" spans="1:9">
      <c r="A560" s="68" t="s">
        <v>21</v>
      </c>
      <c r="B560" s="69">
        <v>1995</v>
      </c>
      <c r="C560" s="70">
        <v>2016029763</v>
      </c>
      <c r="D560" s="70">
        <v>1636478483</v>
      </c>
      <c r="E560" s="70">
        <v>1402023700</v>
      </c>
      <c r="F560" s="70">
        <v>0</v>
      </c>
      <c r="G560" s="71">
        <f t="shared" si="25"/>
        <v>5054531946</v>
      </c>
      <c r="H560" s="60">
        <v>0</v>
      </c>
      <c r="I560" s="72"/>
    </row>
    <row r="561" spans="1:9">
      <c r="A561" s="68" t="s">
        <v>21</v>
      </c>
      <c r="B561" s="69">
        <v>1996</v>
      </c>
      <c r="C561" s="70">
        <v>2126058141</v>
      </c>
      <c r="D561" s="70">
        <v>1685437475</v>
      </c>
      <c r="E561" s="70">
        <v>1421531435</v>
      </c>
      <c r="F561" s="70">
        <v>0</v>
      </c>
      <c r="G561" s="71">
        <f t="shared" si="25"/>
        <v>5233027051</v>
      </c>
      <c r="H561" s="60">
        <v>0</v>
      </c>
      <c r="I561" s="72"/>
    </row>
    <row r="562" spans="1:9">
      <c r="A562" s="68" t="s">
        <v>21</v>
      </c>
      <c r="B562" s="69">
        <v>1997</v>
      </c>
      <c r="C562" s="70">
        <v>2015196332</v>
      </c>
      <c r="D562" s="70">
        <v>2237016754</v>
      </c>
      <c r="E562" s="70">
        <v>1447797964</v>
      </c>
      <c r="F562" s="70">
        <v>0</v>
      </c>
      <c r="G562" s="71">
        <f t="shared" si="25"/>
        <v>5700011050</v>
      </c>
      <c r="H562" s="60">
        <v>0</v>
      </c>
      <c r="I562" s="72"/>
    </row>
    <row r="563" spans="1:9">
      <c r="A563" s="68" t="s">
        <v>21</v>
      </c>
      <c r="B563" s="69">
        <v>1998</v>
      </c>
      <c r="C563" s="70">
        <v>2178082597</v>
      </c>
      <c r="D563" s="70">
        <v>2045636611</v>
      </c>
      <c r="E563" s="70">
        <v>1461570316</v>
      </c>
      <c r="F563" s="70">
        <v>0</v>
      </c>
      <c r="G563" s="71">
        <f t="shared" si="25"/>
        <v>5685289524</v>
      </c>
      <c r="H563" s="60">
        <v>0</v>
      </c>
      <c r="I563" s="72"/>
    </row>
    <row r="564" spans="1:9">
      <c r="A564" s="68" t="s">
        <v>21</v>
      </c>
      <c r="B564" s="69">
        <v>1999</v>
      </c>
      <c r="C564" s="70">
        <v>2251025613</v>
      </c>
      <c r="D564" s="70">
        <v>1973735739</v>
      </c>
      <c r="E564" s="70">
        <v>1517335968</v>
      </c>
      <c r="F564" s="70">
        <v>0</v>
      </c>
      <c r="G564" s="71">
        <f t="shared" si="25"/>
        <v>5742097320</v>
      </c>
      <c r="H564" s="60">
        <v>0</v>
      </c>
      <c r="I564" s="72"/>
    </row>
    <row r="565" spans="1:9">
      <c r="A565" s="68" t="s">
        <v>21</v>
      </c>
      <c r="B565" s="69">
        <v>2000</v>
      </c>
      <c r="C565" s="70">
        <v>2317918323</v>
      </c>
      <c r="D565" s="70">
        <v>2356065929</v>
      </c>
      <c r="E565" s="70">
        <v>1564452794</v>
      </c>
      <c r="F565" s="70">
        <v>0</v>
      </c>
      <c r="G565" s="71">
        <f t="shared" si="25"/>
        <v>6238437046</v>
      </c>
      <c r="H565" s="60">
        <v>0</v>
      </c>
      <c r="I565" s="72"/>
    </row>
    <row r="566" spans="1:9">
      <c r="A566" s="68" t="s">
        <v>21</v>
      </c>
      <c r="B566" s="69">
        <v>2001</v>
      </c>
      <c r="C566" s="70">
        <v>2465063164</v>
      </c>
      <c r="D566" s="70">
        <v>4309396314</v>
      </c>
      <c r="E566" s="70">
        <v>1549668704</v>
      </c>
      <c r="F566" s="70">
        <v>0</v>
      </c>
      <c r="G566" s="71">
        <f t="shared" si="25"/>
        <v>8324128182</v>
      </c>
      <c r="H566" s="60">
        <v>0</v>
      </c>
      <c r="I566" s="72"/>
    </row>
    <row r="567" spans="1:9">
      <c r="A567" s="68" t="s">
        <v>21</v>
      </c>
      <c r="B567" s="69">
        <v>2002</v>
      </c>
      <c r="C567" s="70">
        <v>2394220913</v>
      </c>
      <c r="D567" s="70">
        <v>5838753349</v>
      </c>
      <c r="E567" s="70">
        <v>1572629131</v>
      </c>
      <c r="F567" s="70">
        <v>0</v>
      </c>
      <c r="G567" s="71">
        <f t="shared" si="25"/>
        <v>9805603393</v>
      </c>
      <c r="H567" s="60">
        <v>0</v>
      </c>
      <c r="I567" s="72"/>
    </row>
    <row r="568" spans="1:9">
      <c r="A568" s="68" t="s">
        <v>21</v>
      </c>
      <c r="B568" s="69">
        <v>2003</v>
      </c>
      <c r="C568" s="73">
        <v>2497037709</v>
      </c>
      <c r="D568" s="73">
        <v>4533721741</v>
      </c>
      <c r="E568" s="73">
        <v>1623672778</v>
      </c>
      <c r="F568" s="70">
        <v>0</v>
      </c>
      <c r="G568" s="71">
        <f t="shared" si="25"/>
        <v>8654432228</v>
      </c>
      <c r="H568" s="60">
        <v>0</v>
      </c>
      <c r="I568" s="72"/>
    </row>
    <row r="569" spans="1:9">
      <c r="A569" s="68" t="s">
        <v>21</v>
      </c>
      <c r="B569" s="69">
        <v>2004</v>
      </c>
      <c r="C569" s="73">
        <v>2609697872</v>
      </c>
      <c r="D569" s="73">
        <v>3606044777</v>
      </c>
      <c r="E569" s="73">
        <v>1721880477</v>
      </c>
      <c r="F569" s="70">
        <v>0</v>
      </c>
      <c r="G569" s="71">
        <f t="shared" si="25"/>
        <v>7937623126</v>
      </c>
      <c r="H569" s="60">
        <v>0</v>
      </c>
    </row>
    <row r="570" spans="1:9">
      <c r="A570" s="68" t="s">
        <v>21</v>
      </c>
      <c r="B570" s="69">
        <v>2005</v>
      </c>
      <c r="C570" s="73">
        <v>2531002994</v>
      </c>
      <c r="D570" s="73">
        <v>2729911928</v>
      </c>
      <c r="E570" s="73">
        <v>1857261232.1099999</v>
      </c>
      <c r="F570" s="70">
        <v>0</v>
      </c>
      <c r="G570" s="71">
        <f t="shared" si="25"/>
        <v>7118176154.1099997</v>
      </c>
      <c r="H570" s="60">
        <v>0</v>
      </c>
    </row>
    <row r="571" spans="1:9">
      <c r="A571" s="68" t="s">
        <v>21</v>
      </c>
      <c r="B571" s="69">
        <v>2006</v>
      </c>
      <c r="C571" s="74">
        <v>2741722639</v>
      </c>
      <c r="D571" s="74">
        <v>3119107409</v>
      </c>
      <c r="E571" s="74">
        <v>2222285352</v>
      </c>
      <c r="F571" s="74">
        <v>0</v>
      </c>
      <c r="G571" s="71">
        <f t="shared" si="25"/>
        <v>8083115400</v>
      </c>
      <c r="H571" s="60">
        <v>0</v>
      </c>
    </row>
    <row r="572" spans="1:9">
      <c r="A572" s="68" t="s">
        <v>21</v>
      </c>
      <c r="B572" s="69">
        <v>2007</v>
      </c>
      <c r="C572" s="74">
        <v>2866121147</v>
      </c>
      <c r="D572" s="74">
        <v>3878282223</v>
      </c>
      <c r="E572" s="74">
        <v>2561300175</v>
      </c>
      <c r="F572" s="74">
        <v>0</v>
      </c>
      <c r="G572" s="71">
        <f t="shared" si="25"/>
        <v>9305703545</v>
      </c>
      <c r="H572" s="60">
        <v>0</v>
      </c>
    </row>
    <row r="573" spans="1:9">
      <c r="A573" s="68" t="s">
        <v>21</v>
      </c>
      <c r="B573" s="69">
        <v>2008</v>
      </c>
      <c r="C573" s="74">
        <v>2862374744</v>
      </c>
      <c r="D573" s="74">
        <v>4933584934</v>
      </c>
      <c r="E573" s="74">
        <v>2813788101</v>
      </c>
      <c r="F573" s="74">
        <v>0</v>
      </c>
      <c r="G573" s="71">
        <f t="shared" si="25"/>
        <v>10609747779</v>
      </c>
      <c r="H573" s="60">
        <v>0</v>
      </c>
    </row>
    <row r="574" spans="1:9">
      <c r="A574" s="68" t="s">
        <v>21</v>
      </c>
      <c r="B574" s="69">
        <v>2009</v>
      </c>
      <c r="C574" s="74">
        <v>2934503382</v>
      </c>
      <c r="D574" s="74">
        <v>4606503746</v>
      </c>
      <c r="E574" s="74">
        <v>2946206681</v>
      </c>
      <c r="F574" s="74">
        <v>0</v>
      </c>
      <c r="G574" s="71">
        <f t="shared" si="25"/>
        <v>10487213809</v>
      </c>
      <c r="H574" s="60">
        <v>0</v>
      </c>
    </row>
    <row r="575" spans="1:9">
      <c r="A575" s="68" t="s">
        <v>21</v>
      </c>
      <c r="B575" s="69">
        <v>2010</v>
      </c>
      <c r="C575" s="74">
        <v>3064249995</v>
      </c>
      <c r="D575" s="74">
        <v>3761822132</v>
      </c>
      <c r="E575" s="74">
        <v>3075005043</v>
      </c>
      <c r="F575" s="74">
        <v>0</v>
      </c>
      <c r="G575" s="71">
        <f t="shared" si="25"/>
        <v>9901077170</v>
      </c>
      <c r="H575" s="60">
        <v>0</v>
      </c>
    </row>
    <row r="576" spans="1:9">
      <c r="A576" s="68" t="s">
        <v>21</v>
      </c>
      <c r="B576" s="69">
        <v>2011</v>
      </c>
      <c r="C576" s="74">
        <v>3199273283</v>
      </c>
      <c r="D576" s="74">
        <v>3379995532</v>
      </c>
      <c r="E576" s="74">
        <v>3247956300.2200003</v>
      </c>
      <c r="F576" s="74">
        <v>0</v>
      </c>
      <c r="G576" s="71">
        <f t="shared" si="25"/>
        <v>9827225115.2200012</v>
      </c>
      <c r="H576" s="60">
        <v>0</v>
      </c>
    </row>
    <row r="577" spans="1:9">
      <c r="A577" s="68" t="s">
        <v>21</v>
      </c>
      <c r="B577" s="69">
        <v>2012</v>
      </c>
      <c r="C577" s="74">
        <v>3279323453</v>
      </c>
      <c r="D577" s="74">
        <v>4835724938</v>
      </c>
      <c r="E577" s="74">
        <v>3510145409</v>
      </c>
      <c r="F577" s="74">
        <v>0</v>
      </c>
      <c r="G577" s="71">
        <f t="shared" si="25"/>
        <v>11625193800</v>
      </c>
      <c r="H577" s="60">
        <v>0</v>
      </c>
    </row>
    <row r="578" spans="1:9">
      <c r="B578" s="66"/>
      <c r="C578" s="70"/>
      <c r="D578" s="70"/>
      <c r="E578" s="70"/>
      <c r="F578" s="70"/>
      <c r="G578" s="76"/>
      <c r="I578" s="72"/>
    </row>
    <row r="579" spans="1:9">
      <c r="A579" s="68" t="s">
        <v>22</v>
      </c>
      <c r="B579" s="69">
        <v>1988</v>
      </c>
      <c r="C579" s="70">
        <v>1855610143</v>
      </c>
      <c r="D579" s="70">
        <v>1553938792</v>
      </c>
      <c r="E579" s="70">
        <v>1453410515</v>
      </c>
      <c r="F579" s="70">
        <v>1109329044</v>
      </c>
      <c r="G579" s="71">
        <f>SUM(C579:F579)</f>
        <v>5972288494</v>
      </c>
      <c r="H579" s="60">
        <v>0</v>
      </c>
      <c r="I579" s="72"/>
    </row>
    <row r="580" spans="1:9">
      <c r="A580" s="68" t="s">
        <v>22</v>
      </c>
      <c r="B580" s="69">
        <v>1989</v>
      </c>
      <c r="C580" s="70">
        <v>1857049022</v>
      </c>
      <c r="D580" s="70">
        <v>1735316639</v>
      </c>
      <c r="E580" s="70">
        <v>1545578978</v>
      </c>
      <c r="F580" s="70">
        <v>1163623048</v>
      </c>
      <c r="G580" s="71">
        <f t="shared" ref="G580:G603" si="26">SUM(C580:F580)</f>
        <v>6301567687</v>
      </c>
      <c r="H580" s="60">
        <v>0</v>
      </c>
      <c r="I580" s="72"/>
    </row>
    <row r="581" spans="1:9">
      <c r="A581" s="68" t="s">
        <v>22</v>
      </c>
      <c r="B581" s="69">
        <v>1990</v>
      </c>
      <c r="C581" s="70">
        <v>2000769568</v>
      </c>
      <c r="D581" s="70">
        <v>1777661273.8399999</v>
      </c>
      <c r="E581" s="70">
        <v>1589421636</v>
      </c>
      <c r="F581" s="70">
        <v>1362796754</v>
      </c>
      <c r="G581" s="71">
        <f t="shared" si="26"/>
        <v>6730649231.8400002</v>
      </c>
      <c r="H581" s="60">
        <v>0</v>
      </c>
      <c r="I581" s="72"/>
    </row>
    <row r="582" spans="1:9">
      <c r="A582" s="68" t="s">
        <v>22</v>
      </c>
      <c r="B582" s="69">
        <v>1991</v>
      </c>
      <c r="C582" s="70">
        <v>2210053550</v>
      </c>
      <c r="D582" s="70">
        <v>1668950527</v>
      </c>
      <c r="E582" s="70">
        <v>1581154698</v>
      </c>
      <c r="F582" s="70">
        <v>1384626158</v>
      </c>
      <c r="G582" s="71">
        <f t="shared" si="26"/>
        <v>6844784933</v>
      </c>
      <c r="H582" s="60">
        <v>0</v>
      </c>
      <c r="I582" s="72"/>
    </row>
    <row r="583" spans="1:9">
      <c r="A583" s="68" t="s">
        <v>22</v>
      </c>
      <c r="B583" s="69">
        <v>1992</v>
      </c>
      <c r="C583" s="70">
        <v>2248287675</v>
      </c>
      <c r="D583" s="70">
        <v>1792416490.0799999</v>
      </c>
      <c r="E583" s="70">
        <v>1601874646</v>
      </c>
      <c r="F583" s="70">
        <v>1070650293</v>
      </c>
      <c r="G583" s="71">
        <f t="shared" si="26"/>
        <v>6713229104.0799999</v>
      </c>
      <c r="H583" s="60">
        <v>0</v>
      </c>
      <c r="I583" s="72"/>
    </row>
    <row r="584" spans="1:9">
      <c r="A584" s="68" t="s">
        <v>22</v>
      </c>
      <c r="B584" s="69">
        <v>1993</v>
      </c>
      <c r="C584" s="70">
        <v>2485353453</v>
      </c>
      <c r="D584" s="70">
        <v>1736664084</v>
      </c>
      <c r="E584" s="70">
        <v>1604167301</v>
      </c>
      <c r="F584" s="70">
        <v>867041942</v>
      </c>
      <c r="G584" s="71">
        <f t="shared" si="26"/>
        <v>6693226780</v>
      </c>
      <c r="H584" s="60">
        <v>0</v>
      </c>
      <c r="I584" s="72"/>
    </row>
    <row r="585" spans="1:9">
      <c r="A585" s="68" t="s">
        <v>22</v>
      </c>
      <c r="B585" s="69">
        <v>1994</v>
      </c>
      <c r="C585" s="70">
        <v>2978805847</v>
      </c>
      <c r="D585" s="70">
        <v>2297267431</v>
      </c>
      <c r="E585" s="70">
        <v>1706897004</v>
      </c>
      <c r="F585" s="70">
        <v>1011661921</v>
      </c>
      <c r="G585" s="71">
        <f t="shared" si="26"/>
        <v>7994632203</v>
      </c>
      <c r="H585" s="60">
        <v>0</v>
      </c>
      <c r="I585" s="72"/>
    </row>
    <row r="586" spans="1:9">
      <c r="A586" s="68" t="s">
        <v>22</v>
      </c>
      <c r="B586" s="69">
        <v>1995</v>
      </c>
      <c r="C586" s="70">
        <v>2918346470</v>
      </c>
      <c r="D586" s="70">
        <v>2171776437</v>
      </c>
      <c r="E586" s="70">
        <v>1859132636</v>
      </c>
      <c r="F586" s="70">
        <v>1022581380</v>
      </c>
      <c r="G586" s="71">
        <f t="shared" si="26"/>
        <v>7971836923</v>
      </c>
      <c r="H586" s="60">
        <v>0</v>
      </c>
      <c r="I586" s="72"/>
    </row>
    <row r="587" spans="1:9">
      <c r="A587" s="68" t="s">
        <v>22</v>
      </c>
      <c r="B587" s="69">
        <v>1996</v>
      </c>
      <c r="C587" s="70">
        <v>3063404886</v>
      </c>
      <c r="D587" s="70">
        <v>1979040338</v>
      </c>
      <c r="E587" s="70">
        <v>1985247343</v>
      </c>
      <c r="F587" s="70">
        <v>820203637</v>
      </c>
      <c r="G587" s="71">
        <f t="shared" si="26"/>
        <v>7847896204</v>
      </c>
      <c r="H587" s="60">
        <v>0</v>
      </c>
      <c r="I587" s="72"/>
    </row>
    <row r="588" spans="1:9">
      <c r="A588" s="68" t="s">
        <v>22</v>
      </c>
      <c r="B588" s="69">
        <v>1997</v>
      </c>
      <c r="C588" s="70">
        <v>3007994700</v>
      </c>
      <c r="D588" s="70">
        <v>1957958270</v>
      </c>
      <c r="E588" s="70">
        <v>2034634179</v>
      </c>
      <c r="F588" s="70">
        <v>627329550</v>
      </c>
      <c r="G588" s="71">
        <f t="shared" si="26"/>
        <v>7627916699</v>
      </c>
      <c r="H588" s="60">
        <v>0</v>
      </c>
      <c r="I588" s="72"/>
    </row>
    <row r="589" spans="1:9">
      <c r="A589" s="68" t="s">
        <v>22</v>
      </c>
      <c r="B589" s="69">
        <v>1998</v>
      </c>
      <c r="C589" s="70">
        <v>2705992023</v>
      </c>
      <c r="D589" s="70">
        <v>1898792707</v>
      </c>
      <c r="E589" s="70">
        <v>2066435426</v>
      </c>
      <c r="F589" s="70">
        <v>713488177</v>
      </c>
      <c r="G589" s="71">
        <f t="shared" si="26"/>
        <v>7384708333</v>
      </c>
      <c r="H589" s="60">
        <v>0</v>
      </c>
      <c r="I589" s="72"/>
    </row>
    <row r="590" spans="1:9">
      <c r="A590" s="68" t="s">
        <v>22</v>
      </c>
      <c r="B590" s="69">
        <v>1999</v>
      </c>
      <c r="C590" s="70">
        <v>2763504926</v>
      </c>
      <c r="D590" s="70">
        <v>2594015398</v>
      </c>
      <c r="E590" s="70">
        <v>2216388274</v>
      </c>
      <c r="F590" s="70">
        <v>966991661</v>
      </c>
      <c r="G590" s="71">
        <f t="shared" si="26"/>
        <v>8540900259</v>
      </c>
      <c r="H590" s="60">
        <v>0</v>
      </c>
      <c r="I590" s="72"/>
    </row>
    <row r="591" spans="1:9">
      <c r="A591" s="68" t="s">
        <v>22</v>
      </c>
      <c r="B591" s="69">
        <v>2000</v>
      </c>
      <c r="C591" s="70">
        <v>2744918659</v>
      </c>
      <c r="D591" s="70">
        <v>2813655418</v>
      </c>
      <c r="E591" s="70">
        <v>2350271075</v>
      </c>
      <c r="F591" s="70">
        <v>589261451</v>
      </c>
      <c r="G591" s="71">
        <f t="shared" si="26"/>
        <v>8498106603</v>
      </c>
      <c r="H591" s="60">
        <v>0</v>
      </c>
      <c r="I591" s="72"/>
    </row>
    <row r="592" spans="1:9">
      <c r="A592" s="68" t="s">
        <v>22</v>
      </c>
      <c r="B592" s="69">
        <v>2001</v>
      </c>
      <c r="C592" s="70">
        <v>2887372556</v>
      </c>
      <c r="D592" s="70">
        <v>3677775868</v>
      </c>
      <c r="E592" s="70">
        <v>2519311845</v>
      </c>
      <c r="F592" s="70">
        <v>610006815</v>
      </c>
      <c r="G592" s="71">
        <f t="shared" si="26"/>
        <v>9694467084</v>
      </c>
      <c r="H592" s="60">
        <v>0</v>
      </c>
      <c r="I592" s="72"/>
    </row>
    <row r="593" spans="1:9">
      <c r="A593" s="68" t="s">
        <v>22</v>
      </c>
      <c r="B593" s="69">
        <v>2002</v>
      </c>
      <c r="C593" s="70">
        <v>2850227855</v>
      </c>
      <c r="D593" s="70">
        <v>5533889969</v>
      </c>
      <c r="E593" s="70">
        <v>2596503507</v>
      </c>
      <c r="F593" s="70">
        <v>870994054</v>
      </c>
      <c r="G593" s="71">
        <f t="shared" si="26"/>
        <v>11851615385</v>
      </c>
      <c r="H593" s="60">
        <v>0</v>
      </c>
      <c r="I593" s="72"/>
    </row>
    <row r="594" spans="1:9">
      <c r="A594" s="68" t="s">
        <v>22</v>
      </c>
      <c r="B594" s="69">
        <v>2003</v>
      </c>
      <c r="C594" s="73">
        <v>2963186613</v>
      </c>
      <c r="D594" s="73">
        <v>5222886535</v>
      </c>
      <c r="E594" s="73">
        <v>2869234562</v>
      </c>
      <c r="F594" s="73">
        <v>673768879</v>
      </c>
      <c r="G594" s="71">
        <f t="shared" si="26"/>
        <v>11729076589</v>
      </c>
      <c r="H594" s="60">
        <v>0</v>
      </c>
      <c r="I594" s="72"/>
    </row>
    <row r="595" spans="1:9">
      <c r="A595" s="68" t="s">
        <v>22</v>
      </c>
      <c r="B595" s="69">
        <v>2004</v>
      </c>
      <c r="C595" s="73">
        <v>2979157174</v>
      </c>
      <c r="D595" s="73">
        <v>5118497631</v>
      </c>
      <c r="E595" s="73">
        <v>3072445243</v>
      </c>
      <c r="F595" s="73">
        <v>831153682</v>
      </c>
      <c r="G595" s="71">
        <f t="shared" si="26"/>
        <v>12001253730</v>
      </c>
      <c r="H595" s="60">
        <v>0</v>
      </c>
    </row>
    <row r="596" spans="1:9">
      <c r="A596" s="68" t="s">
        <v>22</v>
      </c>
      <c r="B596" s="69">
        <v>2005</v>
      </c>
      <c r="C596" s="73">
        <v>3108986092</v>
      </c>
      <c r="D596" s="73">
        <v>3484001258</v>
      </c>
      <c r="E596" s="73">
        <v>3247417326.4699998</v>
      </c>
      <c r="F596" s="73">
        <v>863608289</v>
      </c>
      <c r="G596" s="71">
        <f t="shared" si="26"/>
        <v>10704012965.469999</v>
      </c>
      <c r="H596" s="60">
        <v>0</v>
      </c>
    </row>
    <row r="597" spans="1:9">
      <c r="A597" s="68" t="s">
        <v>22</v>
      </c>
      <c r="B597" s="69">
        <v>2006</v>
      </c>
      <c r="C597" s="74">
        <v>3240263338</v>
      </c>
      <c r="D597" s="74">
        <v>3346004387</v>
      </c>
      <c r="E597" s="74">
        <v>3513831752</v>
      </c>
      <c r="F597" s="74">
        <v>1000164584</v>
      </c>
      <c r="G597" s="71">
        <f t="shared" si="26"/>
        <v>11100264061</v>
      </c>
      <c r="H597" s="60">
        <v>0</v>
      </c>
    </row>
    <row r="598" spans="1:9">
      <c r="A598" s="68" t="s">
        <v>22</v>
      </c>
      <c r="B598" s="69">
        <v>2007</v>
      </c>
      <c r="C598" s="74">
        <v>3378928574</v>
      </c>
      <c r="D598" s="74">
        <v>5199853673</v>
      </c>
      <c r="E598" s="74">
        <v>3625761777</v>
      </c>
      <c r="F598" s="74">
        <v>204765259</v>
      </c>
      <c r="G598" s="71">
        <f t="shared" si="26"/>
        <v>12409309283</v>
      </c>
      <c r="H598" s="60">
        <v>32267065</v>
      </c>
      <c r="I598" s="60" t="s">
        <v>402</v>
      </c>
    </row>
    <row r="599" spans="1:9">
      <c r="A599" s="68" t="s">
        <v>22</v>
      </c>
      <c r="B599" s="69">
        <v>2008</v>
      </c>
      <c r="C599" s="74">
        <v>3398242792</v>
      </c>
      <c r="D599" s="74">
        <v>6971365843</v>
      </c>
      <c r="E599" s="74">
        <v>3735958190</v>
      </c>
      <c r="F599" s="74">
        <v>181782106</v>
      </c>
      <c r="G599" s="71">
        <f t="shared" si="26"/>
        <v>14287348931</v>
      </c>
      <c r="H599" s="60">
        <v>74124946</v>
      </c>
      <c r="I599" s="60" t="s">
        <v>402</v>
      </c>
    </row>
    <row r="600" spans="1:9">
      <c r="A600" s="68" t="s">
        <v>22</v>
      </c>
      <c r="B600" s="69">
        <v>2009</v>
      </c>
      <c r="C600" s="74">
        <v>3496112436</v>
      </c>
      <c r="D600" s="74">
        <v>6774875329</v>
      </c>
      <c r="E600" s="74">
        <v>3862073413</v>
      </c>
      <c r="F600" s="74">
        <v>239954343</v>
      </c>
      <c r="G600" s="71">
        <f t="shared" si="26"/>
        <v>14373015521</v>
      </c>
      <c r="H600" s="60">
        <v>52294332</v>
      </c>
      <c r="I600" s="60" t="s">
        <v>402</v>
      </c>
    </row>
    <row r="601" spans="1:9">
      <c r="A601" s="68" t="s">
        <v>22</v>
      </c>
      <c r="B601" s="69">
        <v>2010</v>
      </c>
      <c r="C601" s="74">
        <v>3367282320</v>
      </c>
      <c r="D601" s="75">
        <v>5752143799</v>
      </c>
      <c r="E601" s="74">
        <v>3872365308</v>
      </c>
      <c r="F601" s="74">
        <v>448725475</v>
      </c>
      <c r="G601" s="71">
        <f t="shared" si="26"/>
        <v>13440516902</v>
      </c>
      <c r="H601" s="60">
        <f>55951011</f>
        <v>55951011</v>
      </c>
      <c r="I601" s="60" t="s">
        <v>402</v>
      </c>
    </row>
    <row r="602" spans="1:9">
      <c r="A602" s="68" t="s">
        <v>22</v>
      </c>
      <c r="B602" s="69">
        <v>2011</v>
      </c>
      <c r="C602" s="74">
        <v>3587277632</v>
      </c>
      <c r="D602" s="75">
        <v>5302074085</v>
      </c>
      <c r="E602" s="74">
        <v>3850455944</v>
      </c>
      <c r="F602" s="74">
        <v>220526904</v>
      </c>
      <c r="G602" s="71">
        <f t="shared" si="26"/>
        <v>12960334565</v>
      </c>
      <c r="H602" s="60">
        <v>50897064</v>
      </c>
      <c r="I602" s="60" t="s">
        <v>402</v>
      </c>
    </row>
    <row r="603" spans="1:9">
      <c r="A603" s="68" t="s">
        <v>22</v>
      </c>
      <c r="B603" s="69">
        <v>2012</v>
      </c>
      <c r="C603" s="74">
        <v>3785248974</v>
      </c>
      <c r="D603" s="75">
        <v>16699152333</v>
      </c>
      <c r="E603" s="74">
        <v>3919552247</v>
      </c>
      <c r="F603" s="74">
        <v>133108327</v>
      </c>
      <c r="G603" s="71">
        <f t="shared" si="26"/>
        <v>24537061881</v>
      </c>
      <c r="H603" s="60">
        <v>51358217</v>
      </c>
      <c r="I603" s="60" t="s">
        <v>402</v>
      </c>
    </row>
    <row r="604" spans="1:9">
      <c r="A604" s="68"/>
      <c r="C604" s="70"/>
      <c r="D604" s="70"/>
      <c r="E604" s="70"/>
      <c r="F604" s="70"/>
      <c r="G604" s="76"/>
      <c r="I604" s="72"/>
    </row>
    <row r="605" spans="1:9">
      <c r="A605" s="68" t="s">
        <v>23</v>
      </c>
      <c r="B605" s="69">
        <v>1988</v>
      </c>
      <c r="C605" s="70">
        <v>991844422</v>
      </c>
      <c r="D605" s="70">
        <v>1418175077</v>
      </c>
      <c r="E605" s="70">
        <v>1233459613</v>
      </c>
      <c r="F605" s="70">
        <v>983453342</v>
      </c>
      <c r="G605" s="71">
        <f>SUM(C605:F605)</f>
        <v>4626932454</v>
      </c>
      <c r="H605" s="60">
        <v>0</v>
      </c>
      <c r="I605" s="72"/>
    </row>
    <row r="606" spans="1:9">
      <c r="A606" s="68" t="s">
        <v>23</v>
      </c>
      <c r="B606" s="69">
        <v>1989</v>
      </c>
      <c r="C606" s="70">
        <v>968227631</v>
      </c>
      <c r="D606" s="70">
        <v>1294142928</v>
      </c>
      <c r="E606" s="70">
        <v>1350007713</v>
      </c>
      <c r="F606" s="70">
        <v>1215429982</v>
      </c>
      <c r="G606" s="71">
        <f t="shared" ref="G606:G629" si="27">SUM(C606:F606)</f>
        <v>4827808254</v>
      </c>
      <c r="H606" s="60">
        <v>0</v>
      </c>
      <c r="I606" s="72"/>
    </row>
    <row r="607" spans="1:9">
      <c r="A607" s="68" t="s">
        <v>23</v>
      </c>
      <c r="B607" s="69">
        <v>1990</v>
      </c>
      <c r="C607" s="70">
        <v>994401925</v>
      </c>
      <c r="D607" s="70">
        <v>1569795249.96</v>
      </c>
      <c r="E607" s="70">
        <v>1448296965</v>
      </c>
      <c r="F607" s="70">
        <v>1216892120</v>
      </c>
      <c r="G607" s="71">
        <f t="shared" si="27"/>
        <v>5229386259.96</v>
      </c>
      <c r="H607" s="60">
        <v>0</v>
      </c>
      <c r="I607" s="72"/>
    </row>
    <row r="608" spans="1:9">
      <c r="A608" s="68" t="s">
        <v>23</v>
      </c>
      <c r="B608" s="69">
        <v>1991</v>
      </c>
      <c r="C608" s="70">
        <v>1064724119</v>
      </c>
      <c r="D608" s="70">
        <v>1424229703</v>
      </c>
      <c r="E608" s="70">
        <v>1519551252</v>
      </c>
      <c r="F608" s="70">
        <v>1338071746</v>
      </c>
      <c r="G608" s="71">
        <f t="shared" si="27"/>
        <v>5346576820</v>
      </c>
      <c r="H608" s="60">
        <v>0</v>
      </c>
      <c r="I608" s="72"/>
    </row>
    <row r="609" spans="1:9">
      <c r="A609" s="68" t="s">
        <v>23</v>
      </c>
      <c r="B609" s="69">
        <v>1992</v>
      </c>
      <c r="C609" s="70">
        <v>1158658257</v>
      </c>
      <c r="D609" s="70">
        <v>1448974791.52</v>
      </c>
      <c r="E609" s="70">
        <v>1555354126</v>
      </c>
      <c r="F609" s="70">
        <v>888891302</v>
      </c>
      <c r="G609" s="71">
        <f t="shared" si="27"/>
        <v>5051878476.5200005</v>
      </c>
      <c r="H609" s="60">
        <v>0</v>
      </c>
      <c r="I609" s="72"/>
    </row>
    <row r="610" spans="1:9">
      <c r="A610" s="68" t="s">
        <v>23</v>
      </c>
      <c r="B610" s="69">
        <v>1993</v>
      </c>
      <c r="C610" s="70">
        <v>1284114347</v>
      </c>
      <c r="D610" s="70">
        <v>1140639810</v>
      </c>
      <c r="E610" s="70">
        <v>1559418881</v>
      </c>
      <c r="F610" s="70">
        <v>834483520</v>
      </c>
      <c r="G610" s="71">
        <f t="shared" si="27"/>
        <v>4818656558</v>
      </c>
      <c r="H610" s="60">
        <v>0</v>
      </c>
      <c r="I610" s="72"/>
    </row>
    <row r="611" spans="1:9">
      <c r="A611" s="68" t="s">
        <v>23</v>
      </c>
      <c r="B611" s="69">
        <v>1994</v>
      </c>
      <c r="C611" s="70">
        <v>1364401005</v>
      </c>
      <c r="D611" s="70">
        <v>1584920701</v>
      </c>
      <c r="E611" s="70">
        <v>1678238765</v>
      </c>
      <c r="F611" s="70">
        <v>448280320</v>
      </c>
      <c r="G611" s="71">
        <f t="shared" si="27"/>
        <v>5075840791</v>
      </c>
      <c r="H611" s="60">
        <v>0</v>
      </c>
      <c r="I611" s="72"/>
    </row>
    <row r="612" spans="1:9">
      <c r="A612" s="68" t="s">
        <v>23</v>
      </c>
      <c r="B612" s="69">
        <v>1995</v>
      </c>
      <c r="C612" s="70">
        <v>1382653488</v>
      </c>
      <c r="D612" s="70">
        <v>1654876679</v>
      </c>
      <c r="E612" s="70">
        <v>1694532847</v>
      </c>
      <c r="F612" s="70">
        <v>433050125</v>
      </c>
      <c r="G612" s="71">
        <f t="shared" si="27"/>
        <v>5165113139</v>
      </c>
      <c r="H612" s="60">
        <v>0</v>
      </c>
      <c r="I612" s="72"/>
    </row>
    <row r="613" spans="1:9">
      <c r="A613" s="68" t="s">
        <v>23</v>
      </c>
      <c r="B613" s="69">
        <v>1996</v>
      </c>
      <c r="C613" s="70">
        <v>1409650986</v>
      </c>
      <c r="D613" s="70">
        <v>1216614999</v>
      </c>
      <c r="E613" s="70">
        <v>1767595582</v>
      </c>
      <c r="F613" s="70">
        <v>297909322</v>
      </c>
      <c r="G613" s="71">
        <f t="shared" si="27"/>
        <v>4691770889</v>
      </c>
      <c r="H613" s="60">
        <v>0</v>
      </c>
      <c r="I613" s="72"/>
    </row>
    <row r="614" spans="1:9">
      <c r="A614" s="68" t="s">
        <v>23</v>
      </c>
      <c r="B614" s="69">
        <v>1997</v>
      </c>
      <c r="C614" s="70">
        <v>1391785466</v>
      </c>
      <c r="D614" s="70">
        <v>1345345297</v>
      </c>
      <c r="E614" s="70">
        <v>1835812601</v>
      </c>
      <c r="F614" s="70">
        <v>268445977</v>
      </c>
      <c r="G614" s="71">
        <f t="shared" si="27"/>
        <v>4841389341</v>
      </c>
      <c r="H614" s="60">
        <v>0</v>
      </c>
      <c r="I614" s="72"/>
    </row>
    <row r="615" spans="1:9">
      <c r="A615" s="68" t="s">
        <v>23</v>
      </c>
      <c r="B615" s="69">
        <v>1998</v>
      </c>
      <c r="C615" s="70">
        <v>1435675392</v>
      </c>
      <c r="D615" s="70">
        <v>1225045708</v>
      </c>
      <c r="E615" s="70">
        <v>2055019175</v>
      </c>
      <c r="F615" s="70">
        <v>65945886</v>
      </c>
      <c r="G615" s="71">
        <f t="shared" si="27"/>
        <v>4781686161</v>
      </c>
      <c r="H615" s="60">
        <v>0</v>
      </c>
      <c r="I615" s="72"/>
    </row>
    <row r="616" spans="1:9">
      <c r="A616" s="68" t="s">
        <v>23</v>
      </c>
      <c r="B616" s="69">
        <v>1999</v>
      </c>
      <c r="C616" s="70">
        <v>1446767351</v>
      </c>
      <c r="D616" s="70">
        <v>1594298274</v>
      </c>
      <c r="E616" s="70">
        <v>2349723395</v>
      </c>
      <c r="F616" s="70">
        <v>336956565</v>
      </c>
      <c r="G616" s="71">
        <f t="shared" si="27"/>
        <v>5727745585</v>
      </c>
      <c r="H616" s="60">
        <v>0</v>
      </c>
      <c r="I616" s="72"/>
    </row>
    <row r="617" spans="1:9">
      <c r="A617" s="68" t="s">
        <v>23</v>
      </c>
      <c r="B617" s="69">
        <v>2000</v>
      </c>
      <c r="C617" s="70">
        <v>1468443440</v>
      </c>
      <c r="D617" s="70">
        <v>1685016555</v>
      </c>
      <c r="E617" s="70">
        <v>2650474393</v>
      </c>
      <c r="F617" s="70">
        <v>476722944</v>
      </c>
      <c r="G617" s="71">
        <f t="shared" si="27"/>
        <v>6280657332</v>
      </c>
      <c r="H617" s="60">
        <v>0</v>
      </c>
      <c r="I617" s="72"/>
    </row>
    <row r="618" spans="1:9">
      <c r="A618" s="68" t="s">
        <v>23</v>
      </c>
      <c r="B618" s="69">
        <v>2001</v>
      </c>
      <c r="C618" s="70">
        <v>1489895293</v>
      </c>
      <c r="D618" s="70">
        <v>2312407536</v>
      </c>
      <c r="E618" s="70">
        <v>2644246213</v>
      </c>
      <c r="F618" s="60">
        <v>-141523048</v>
      </c>
      <c r="G618" s="71">
        <f t="shared" si="27"/>
        <v>6305025994</v>
      </c>
      <c r="H618" s="60">
        <v>0</v>
      </c>
      <c r="I618" s="72"/>
    </row>
    <row r="619" spans="1:9">
      <c r="A619" s="68" t="s">
        <v>23</v>
      </c>
      <c r="B619" s="69">
        <v>2002</v>
      </c>
      <c r="C619" s="70">
        <v>1558159332</v>
      </c>
      <c r="D619" s="70">
        <v>3145136369</v>
      </c>
      <c r="E619" s="70">
        <v>2812149147</v>
      </c>
      <c r="F619" s="60">
        <v>293849038</v>
      </c>
      <c r="G619" s="71">
        <f t="shared" si="27"/>
        <v>7809293886</v>
      </c>
      <c r="H619" s="60">
        <v>0</v>
      </c>
      <c r="I619" s="72"/>
    </row>
    <row r="620" spans="1:9">
      <c r="A620" s="68" t="s">
        <v>23</v>
      </c>
      <c r="B620" s="69">
        <v>2003</v>
      </c>
      <c r="C620" s="73">
        <v>1733966356</v>
      </c>
      <c r="D620" s="73">
        <v>2587566336</v>
      </c>
      <c r="E620" s="73">
        <v>2776652838</v>
      </c>
      <c r="F620" s="73">
        <v>379280123</v>
      </c>
      <c r="G620" s="71">
        <f t="shared" si="27"/>
        <v>7477465653</v>
      </c>
      <c r="H620" s="60">
        <v>0</v>
      </c>
      <c r="I620" s="72"/>
    </row>
    <row r="621" spans="1:9">
      <c r="A621" s="68" t="s">
        <v>23</v>
      </c>
      <c r="B621" s="69">
        <v>2004</v>
      </c>
      <c r="C621" s="73">
        <v>1778181090</v>
      </c>
      <c r="D621" s="73">
        <v>2145415855</v>
      </c>
      <c r="E621" s="73">
        <v>3058272941</v>
      </c>
      <c r="F621" s="73">
        <v>352756324</v>
      </c>
      <c r="G621" s="71">
        <f t="shared" si="27"/>
        <v>7334626210</v>
      </c>
      <c r="H621" s="60">
        <v>0</v>
      </c>
      <c r="I621" s="72"/>
    </row>
    <row r="622" spans="1:9">
      <c r="A622" s="68" t="s">
        <v>23</v>
      </c>
      <c r="B622" s="69">
        <v>2005</v>
      </c>
      <c r="C622" s="73">
        <v>1868080318</v>
      </c>
      <c r="D622" s="73">
        <v>1774289630</v>
      </c>
      <c r="E622" s="73">
        <v>3379656672.29</v>
      </c>
      <c r="F622" s="73">
        <v>735902246</v>
      </c>
      <c r="G622" s="71">
        <f t="shared" si="27"/>
        <v>7757928866.29</v>
      </c>
      <c r="H622" s="60">
        <v>0</v>
      </c>
      <c r="I622" s="72"/>
    </row>
    <row r="623" spans="1:9">
      <c r="A623" s="68" t="s">
        <v>23</v>
      </c>
      <c r="B623" s="69">
        <v>2006</v>
      </c>
      <c r="C623" s="74">
        <v>2014372636</v>
      </c>
      <c r="D623" s="74">
        <v>1937282341</v>
      </c>
      <c r="E623" s="74">
        <v>3772395104</v>
      </c>
      <c r="F623" s="74">
        <v>682474923</v>
      </c>
      <c r="G623" s="71">
        <f t="shared" si="27"/>
        <v>8406525004</v>
      </c>
      <c r="H623" s="60">
        <v>0</v>
      </c>
      <c r="I623" s="72"/>
    </row>
    <row r="624" spans="1:9">
      <c r="A624" s="68" t="s">
        <v>23</v>
      </c>
      <c r="B624" s="69">
        <v>2007</v>
      </c>
      <c r="C624" s="74">
        <v>2342853339</v>
      </c>
      <c r="D624" s="74">
        <v>2183826216</v>
      </c>
      <c r="E624" s="74">
        <v>5381282507</v>
      </c>
      <c r="F624" s="74">
        <v>516033798</v>
      </c>
      <c r="G624" s="71">
        <f t="shared" si="27"/>
        <v>10423995860</v>
      </c>
      <c r="H624" s="60">
        <v>0</v>
      </c>
      <c r="I624" s="72"/>
    </row>
    <row r="625" spans="1:9">
      <c r="A625" s="68" t="s">
        <v>23</v>
      </c>
      <c r="B625" s="69">
        <v>2008</v>
      </c>
      <c r="C625" s="74">
        <v>2535397174</v>
      </c>
      <c r="D625" s="74">
        <v>2931594740</v>
      </c>
      <c r="E625" s="74">
        <v>5813000116</v>
      </c>
      <c r="F625" s="74">
        <v>642987124</v>
      </c>
      <c r="G625" s="71">
        <f t="shared" si="27"/>
        <v>11922979154</v>
      </c>
      <c r="H625" s="60">
        <v>0</v>
      </c>
      <c r="I625" s="72"/>
    </row>
    <row r="626" spans="1:9">
      <c r="A626" s="68" t="s">
        <v>23</v>
      </c>
      <c r="B626" s="69">
        <v>2009</v>
      </c>
      <c r="C626" s="74">
        <v>2709225893</v>
      </c>
      <c r="D626" s="74">
        <v>2776868677</v>
      </c>
      <c r="E626" s="74">
        <v>5931961888</v>
      </c>
      <c r="F626" s="74">
        <v>414008153</v>
      </c>
      <c r="G626" s="71">
        <f t="shared" si="27"/>
        <v>11832064611</v>
      </c>
      <c r="H626" s="60">
        <v>0</v>
      </c>
      <c r="I626" s="72"/>
    </row>
    <row r="627" spans="1:9">
      <c r="A627" s="68" t="s">
        <v>23</v>
      </c>
      <c r="B627" s="69">
        <v>2010</v>
      </c>
      <c r="C627" s="74">
        <v>2754984565</v>
      </c>
      <c r="D627" s="74">
        <v>2402283581</v>
      </c>
      <c r="E627" s="74">
        <v>6058044159</v>
      </c>
      <c r="F627" s="74">
        <v>527791143</v>
      </c>
      <c r="G627" s="71">
        <f t="shared" si="27"/>
        <v>11743103448</v>
      </c>
      <c r="H627" s="60">
        <v>0</v>
      </c>
      <c r="I627" s="72"/>
    </row>
    <row r="628" spans="1:9">
      <c r="A628" s="68" t="s">
        <v>23</v>
      </c>
      <c r="B628" s="69">
        <v>2011</v>
      </c>
      <c r="C628" s="74">
        <v>2873422036</v>
      </c>
      <c r="D628" s="74">
        <v>2300498589</v>
      </c>
      <c r="E628" s="74">
        <v>6506864484.5100002</v>
      </c>
      <c r="F628" s="74">
        <v>520992918</v>
      </c>
      <c r="G628" s="71">
        <f t="shared" si="27"/>
        <v>12201778027.51</v>
      </c>
      <c r="H628" s="60">
        <v>0</v>
      </c>
      <c r="I628" s="72"/>
    </row>
    <row r="629" spans="1:9">
      <c r="A629" s="68" t="s">
        <v>23</v>
      </c>
      <c r="B629" s="69">
        <v>2012</v>
      </c>
      <c r="C629" s="74">
        <v>3558872999</v>
      </c>
      <c r="D629" s="74">
        <v>2600062114</v>
      </c>
      <c r="E629" s="74">
        <v>6428098461</v>
      </c>
      <c r="F629" s="74">
        <v>397346397</v>
      </c>
      <c r="G629" s="71">
        <f t="shared" si="27"/>
        <v>12984379971</v>
      </c>
      <c r="H629" s="60">
        <v>0</v>
      </c>
      <c r="I629" s="72"/>
    </row>
    <row r="630" spans="1:9">
      <c r="A630" s="68"/>
      <c r="C630" s="70"/>
      <c r="D630" s="70"/>
      <c r="E630" s="70"/>
      <c r="F630" s="70"/>
      <c r="G630" s="76"/>
      <c r="I630" s="72"/>
    </row>
    <row r="631" spans="1:9">
      <c r="A631" s="65" t="s">
        <v>24</v>
      </c>
      <c r="B631" s="69">
        <v>1988</v>
      </c>
      <c r="C631" s="70">
        <v>494160311</v>
      </c>
      <c r="D631" s="70">
        <v>139246409</v>
      </c>
      <c r="E631" s="70">
        <v>537561838</v>
      </c>
      <c r="F631" s="70">
        <v>59908525</v>
      </c>
      <c r="G631" s="71">
        <f>SUM(C631:F631)</f>
        <v>1230877083</v>
      </c>
      <c r="H631" s="60">
        <v>0</v>
      </c>
      <c r="I631" s="72"/>
    </row>
    <row r="632" spans="1:9">
      <c r="A632" s="65" t="s">
        <v>24</v>
      </c>
      <c r="B632" s="69">
        <v>1989</v>
      </c>
      <c r="C632" s="70">
        <v>507841813</v>
      </c>
      <c r="D632" s="70">
        <v>169895828</v>
      </c>
      <c r="E632" s="70">
        <v>576016570</v>
      </c>
      <c r="F632" s="70">
        <v>78357618</v>
      </c>
      <c r="G632" s="71">
        <f t="shared" ref="G632:G649" si="28">SUM(C632:F632)</f>
        <v>1332111829</v>
      </c>
      <c r="H632" s="60">
        <v>0</v>
      </c>
      <c r="I632" s="72"/>
    </row>
    <row r="633" spans="1:9">
      <c r="A633" s="65" t="s">
        <v>24</v>
      </c>
      <c r="B633" s="69">
        <v>1990</v>
      </c>
      <c r="C633" s="70">
        <v>540232035</v>
      </c>
      <c r="D633" s="70">
        <v>210283690.24000001</v>
      </c>
      <c r="E633" s="70">
        <v>603593291</v>
      </c>
      <c r="F633" s="70">
        <v>84560616</v>
      </c>
      <c r="G633" s="71">
        <f t="shared" si="28"/>
        <v>1438669632.24</v>
      </c>
      <c r="H633" s="60">
        <v>0</v>
      </c>
      <c r="I633" s="72"/>
    </row>
    <row r="634" spans="1:9">
      <c r="A634" s="65" t="s">
        <v>24</v>
      </c>
      <c r="B634" s="69">
        <v>1991</v>
      </c>
      <c r="C634" s="70">
        <v>553617397</v>
      </c>
      <c r="D634" s="70">
        <v>194700963</v>
      </c>
      <c r="E634" s="70">
        <v>617080734</v>
      </c>
      <c r="F634" s="70">
        <v>72413418</v>
      </c>
      <c r="G634" s="71">
        <f t="shared" si="28"/>
        <v>1437812512</v>
      </c>
      <c r="H634" s="60">
        <v>0</v>
      </c>
      <c r="I634" s="72"/>
    </row>
    <row r="635" spans="1:9">
      <c r="A635" s="65" t="s">
        <v>24</v>
      </c>
      <c r="B635" s="69">
        <v>1992</v>
      </c>
      <c r="C635" s="70">
        <v>590668261</v>
      </c>
      <c r="D635" s="70">
        <v>228391753.16</v>
      </c>
      <c r="E635" s="70">
        <v>658147869</v>
      </c>
      <c r="F635" s="70">
        <v>57756871</v>
      </c>
      <c r="G635" s="71">
        <f t="shared" si="28"/>
        <v>1534964754.1599998</v>
      </c>
      <c r="H635" s="60">
        <v>0</v>
      </c>
      <c r="I635" s="72"/>
    </row>
    <row r="636" spans="1:9">
      <c r="A636" s="65" t="s">
        <v>24</v>
      </c>
      <c r="B636" s="69">
        <v>1993</v>
      </c>
      <c r="C636" s="70">
        <v>624675929</v>
      </c>
      <c r="D636" s="70">
        <v>201796629</v>
      </c>
      <c r="E636" s="70">
        <v>720034011</v>
      </c>
      <c r="F636" s="70">
        <v>82419318</v>
      </c>
      <c r="G636" s="71">
        <f t="shared" si="28"/>
        <v>1628925887</v>
      </c>
      <c r="H636" s="60">
        <v>0</v>
      </c>
      <c r="I636" s="72"/>
    </row>
    <row r="637" spans="1:9">
      <c r="A637" s="65" t="s">
        <v>24</v>
      </c>
      <c r="B637" s="69">
        <v>1994</v>
      </c>
      <c r="C637" s="70">
        <v>684193956</v>
      </c>
      <c r="D637" s="70">
        <v>259009264</v>
      </c>
      <c r="E637" s="70">
        <v>691777042</v>
      </c>
      <c r="F637" s="70">
        <v>72732935</v>
      </c>
      <c r="G637" s="71">
        <f t="shared" si="28"/>
        <v>1707713197</v>
      </c>
      <c r="H637" s="60">
        <v>0</v>
      </c>
      <c r="I637" s="72"/>
    </row>
    <row r="638" spans="1:9">
      <c r="A638" s="65" t="s">
        <v>24</v>
      </c>
      <c r="B638" s="69">
        <v>1995</v>
      </c>
      <c r="C638" s="70">
        <v>709493426</v>
      </c>
      <c r="D638" s="70">
        <v>243301024</v>
      </c>
      <c r="E638" s="70">
        <v>704786886</v>
      </c>
      <c r="F638" s="70">
        <v>75550966</v>
      </c>
      <c r="G638" s="71">
        <f t="shared" si="28"/>
        <v>1733132302</v>
      </c>
      <c r="H638" s="60">
        <v>0</v>
      </c>
      <c r="I638" s="72"/>
    </row>
    <row r="639" spans="1:9">
      <c r="A639" s="65" t="s">
        <v>24</v>
      </c>
      <c r="B639" s="69">
        <v>1996</v>
      </c>
      <c r="C639" s="70">
        <v>679253235</v>
      </c>
      <c r="D639" s="70">
        <v>238600553</v>
      </c>
      <c r="E639" s="70">
        <v>1146866345</v>
      </c>
      <c r="F639" s="70">
        <v>70332244</v>
      </c>
      <c r="G639" s="71">
        <f t="shared" si="28"/>
        <v>2135052377</v>
      </c>
      <c r="H639" s="60">
        <v>0</v>
      </c>
      <c r="I639" s="72"/>
    </row>
    <row r="640" spans="1:9">
      <c r="A640" s="65" t="s">
        <v>24</v>
      </c>
      <c r="B640" s="69">
        <v>1997</v>
      </c>
      <c r="C640" s="70">
        <v>685764267</v>
      </c>
      <c r="D640" s="70">
        <v>227148652</v>
      </c>
      <c r="E640" s="70">
        <v>1197733300</v>
      </c>
      <c r="F640" s="70">
        <v>80780006</v>
      </c>
      <c r="G640" s="71">
        <f t="shared" si="28"/>
        <v>2191426225</v>
      </c>
      <c r="H640" s="60">
        <v>0</v>
      </c>
      <c r="I640" s="72"/>
    </row>
    <row r="641" spans="1:9">
      <c r="A641" s="65" t="s">
        <v>24</v>
      </c>
      <c r="B641" s="69">
        <v>1998</v>
      </c>
      <c r="C641" s="70">
        <v>717084967</v>
      </c>
      <c r="D641" s="70">
        <v>276999929</v>
      </c>
      <c r="E641" s="70">
        <v>1308400017</v>
      </c>
      <c r="F641" s="70">
        <v>75177676</v>
      </c>
      <c r="G641" s="71">
        <f t="shared" si="28"/>
        <v>2377662589</v>
      </c>
      <c r="H641" s="60">
        <v>0</v>
      </c>
      <c r="I641" s="72"/>
    </row>
    <row r="642" spans="1:9">
      <c r="A642" s="65" t="s">
        <v>24</v>
      </c>
      <c r="B642" s="69">
        <v>1999</v>
      </c>
      <c r="C642" s="70">
        <v>700222456</v>
      </c>
      <c r="D642" s="70">
        <v>467201248</v>
      </c>
      <c r="E642" s="70">
        <v>1491243860</v>
      </c>
      <c r="F642" s="70">
        <v>22795978</v>
      </c>
      <c r="G642" s="71">
        <f t="shared" si="28"/>
        <v>2681463542</v>
      </c>
      <c r="H642" s="60">
        <f>9166997+7566</f>
        <v>9174563</v>
      </c>
      <c r="I642" s="72" t="s">
        <v>402</v>
      </c>
    </row>
    <row r="643" spans="1:9">
      <c r="A643" s="65" t="s">
        <v>24</v>
      </c>
      <c r="B643" s="69">
        <v>2000</v>
      </c>
      <c r="C643" s="70">
        <v>728558722</v>
      </c>
      <c r="D643" s="70">
        <v>551858802</v>
      </c>
      <c r="E643" s="70">
        <v>1689058813</v>
      </c>
      <c r="F643" s="70">
        <v>32855534</v>
      </c>
      <c r="G643" s="71">
        <f t="shared" si="28"/>
        <v>3002331871</v>
      </c>
      <c r="H643" s="60">
        <f>14107525+470496</f>
        <v>14578021</v>
      </c>
      <c r="I643" s="72" t="s">
        <v>402</v>
      </c>
    </row>
    <row r="644" spans="1:9">
      <c r="A644" s="65" t="s">
        <v>24</v>
      </c>
      <c r="B644" s="69">
        <v>2001</v>
      </c>
      <c r="C644" s="70">
        <v>766056989</v>
      </c>
      <c r="D644" s="70">
        <v>711026830</v>
      </c>
      <c r="E644" s="70">
        <v>1551481021</v>
      </c>
      <c r="F644" s="70">
        <v>19580221</v>
      </c>
      <c r="G644" s="71">
        <f t="shared" si="28"/>
        <v>3048145061</v>
      </c>
      <c r="H644" s="60">
        <f>9630159+253791</f>
        <v>9883950</v>
      </c>
      <c r="I644" s="72" t="s">
        <v>402</v>
      </c>
    </row>
    <row r="645" spans="1:9">
      <c r="A645" s="65" t="s">
        <v>24</v>
      </c>
      <c r="B645" s="69">
        <v>2002</v>
      </c>
      <c r="C645" s="70">
        <v>821627437</v>
      </c>
      <c r="D645" s="70">
        <v>935221183</v>
      </c>
      <c r="E645" s="70">
        <v>1642284308</v>
      </c>
      <c r="F645" s="70">
        <v>12123739</v>
      </c>
      <c r="G645" s="71">
        <f t="shared" si="28"/>
        <v>3411256667</v>
      </c>
      <c r="H645" s="60">
        <v>10346312</v>
      </c>
      <c r="I645" s="72" t="s">
        <v>402</v>
      </c>
    </row>
    <row r="646" spans="1:9">
      <c r="A646" s="65" t="s">
        <v>24</v>
      </c>
      <c r="B646" s="69">
        <v>2003</v>
      </c>
      <c r="C646" s="73">
        <v>832258477</v>
      </c>
      <c r="D646" s="73">
        <v>848668057</v>
      </c>
      <c r="E646" s="73">
        <v>1798892605</v>
      </c>
      <c r="F646" s="73">
        <v>30461039</v>
      </c>
      <c r="G646" s="71">
        <f t="shared" si="28"/>
        <v>3510280178</v>
      </c>
      <c r="H646" s="60">
        <f>17081777+210949</f>
        <v>17292726</v>
      </c>
      <c r="I646" s="72" t="s">
        <v>402</v>
      </c>
    </row>
    <row r="647" spans="1:9">
      <c r="A647" s="65" t="s">
        <v>24</v>
      </c>
      <c r="B647" s="69">
        <v>2004</v>
      </c>
      <c r="C647" s="73">
        <v>878895716</v>
      </c>
      <c r="D647" s="73">
        <v>783998043</v>
      </c>
      <c r="E647" s="73">
        <v>1954734991</v>
      </c>
      <c r="F647" s="73">
        <v>29695704</v>
      </c>
      <c r="G647" s="71">
        <f t="shared" si="28"/>
        <v>3647324454</v>
      </c>
      <c r="H647" s="60">
        <v>27409883</v>
      </c>
      <c r="I647" s="72" t="s">
        <v>402</v>
      </c>
    </row>
    <row r="648" spans="1:9">
      <c r="A648" s="65" t="s">
        <v>24</v>
      </c>
      <c r="B648" s="69">
        <v>2005</v>
      </c>
      <c r="C648" s="73">
        <v>843105341</v>
      </c>
      <c r="D648" s="73">
        <v>720107437</v>
      </c>
      <c r="E648" s="73">
        <v>2055542218</v>
      </c>
      <c r="F648" s="73">
        <v>29358605</v>
      </c>
      <c r="G648" s="71">
        <f t="shared" si="28"/>
        <v>3648113601</v>
      </c>
      <c r="H648" s="60">
        <f>18598686+210872</f>
        <v>18809558</v>
      </c>
      <c r="I648" s="72" t="s">
        <v>402</v>
      </c>
    </row>
    <row r="649" spans="1:9">
      <c r="A649" s="65" t="s">
        <v>24</v>
      </c>
      <c r="B649" s="69">
        <v>2006</v>
      </c>
      <c r="C649" s="74">
        <v>871708070</v>
      </c>
      <c r="D649" s="74">
        <v>816857580</v>
      </c>
      <c r="E649" s="74">
        <v>2266617493</v>
      </c>
      <c r="F649" s="74">
        <v>16758849</v>
      </c>
      <c r="G649" s="71">
        <f t="shared" si="28"/>
        <v>3971941992</v>
      </c>
      <c r="H649" s="60">
        <v>11129153</v>
      </c>
      <c r="I649" s="72" t="s">
        <v>402</v>
      </c>
    </row>
    <row r="650" spans="1:9">
      <c r="A650" s="65" t="s">
        <v>24</v>
      </c>
      <c r="B650" s="69">
        <v>2007</v>
      </c>
      <c r="C650" s="74">
        <v>900744584</v>
      </c>
      <c r="D650" s="74">
        <v>768621684</v>
      </c>
      <c r="E650" s="74">
        <v>2608752757</v>
      </c>
      <c r="F650" s="74">
        <v>23359188</v>
      </c>
      <c r="G650" s="71">
        <f t="shared" ref="G650:G655" si="29">SUM(C650:F650)</f>
        <v>4301478213</v>
      </c>
      <c r="H650" s="60">
        <v>7616222</v>
      </c>
      <c r="I650" s="72" t="s">
        <v>402</v>
      </c>
    </row>
    <row r="651" spans="1:9">
      <c r="A651" s="65" t="s">
        <v>24</v>
      </c>
      <c r="B651" s="69">
        <v>2008</v>
      </c>
      <c r="C651" s="74">
        <v>977126800</v>
      </c>
      <c r="D651" s="74">
        <v>1042067117</v>
      </c>
      <c r="E651" s="74">
        <v>2378353175</v>
      </c>
      <c r="F651" s="74">
        <v>16162811</v>
      </c>
      <c r="G651" s="71">
        <f t="shared" si="29"/>
        <v>4413709903</v>
      </c>
      <c r="H651" s="60">
        <v>15218500</v>
      </c>
      <c r="I651" s="72" t="s">
        <v>402</v>
      </c>
    </row>
    <row r="652" spans="1:9">
      <c r="A652" s="65" t="s">
        <v>24</v>
      </c>
      <c r="B652" s="69">
        <v>2009</v>
      </c>
      <c r="C652" s="74">
        <v>1075876880</v>
      </c>
      <c r="D652" s="74">
        <v>970426265</v>
      </c>
      <c r="E652" s="74">
        <v>2725964489</v>
      </c>
      <c r="F652" s="74">
        <v>34124962</v>
      </c>
      <c r="G652" s="71">
        <f t="shared" si="29"/>
        <v>4806392596</v>
      </c>
      <c r="H652" s="60">
        <v>19947823</v>
      </c>
      <c r="I652" s="72" t="s">
        <v>402</v>
      </c>
    </row>
    <row r="653" spans="1:9">
      <c r="A653" s="65" t="s">
        <v>24</v>
      </c>
      <c r="B653" s="69">
        <v>2010</v>
      </c>
      <c r="C653" s="74">
        <v>1046595624</v>
      </c>
      <c r="D653" s="75">
        <v>851655369</v>
      </c>
      <c r="E653" s="74">
        <v>2629420239</v>
      </c>
      <c r="F653" s="74">
        <v>25094358</v>
      </c>
      <c r="G653" s="71">
        <f t="shared" si="29"/>
        <v>4552765590</v>
      </c>
      <c r="H653" s="60">
        <f>2489207</f>
        <v>2489207</v>
      </c>
      <c r="I653" s="72" t="s">
        <v>402</v>
      </c>
    </row>
    <row r="654" spans="1:9">
      <c r="A654" s="65" t="s">
        <v>24</v>
      </c>
      <c r="B654" s="69">
        <v>2011</v>
      </c>
      <c r="C654" s="74">
        <v>1102883385</v>
      </c>
      <c r="D654" s="75">
        <v>949125514</v>
      </c>
      <c r="E654" s="74">
        <v>2506972914</v>
      </c>
      <c r="F654" s="74">
        <v>29818626</v>
      </c>
      <c r="G654" s="71">
        <f t="shared" si="29"/>
        <v>4588800439</v>
      </c>
      <c r="H654" s="60">
        <v>757029</v>
      </c>
      <c r="I654" s="72" t="s">
        <v>402</v>
      </c>
    </row>
    <row r="655" spans="1:9">
      <c r="A655" s="65" t="s">
        <v>24</v>
      </c>
      <c r="B655" s="69">
        <v>2012</v>
      </c>
      <c r="C655" s="74">
        <v>1136196014</v>
      </c>
      <c r="D655" s="75">
        <v>955395782</v>
      </c>
      <c r="E655" s="74">
        <v>2555189534</v>
      </c>
      <c r="F655" s="74">
        <v>30682921</v>
      </c>
      <c r="G655" s="71">
        <f t="shared" si="29"/>
        <v>4677464251</v>
      </c>
      <c r="H655" s="60">
        <v>941400</v>
      </c>
      <c r="I655" s="72" t="s">
        <v>402</v>
      </c>
    </row>
    <row r="656" spans="1:9">
      <c r="A656" s="68"/>
      <c r="C656" s="70"/>
      <c r="D656" s="70"/>
      <c r="E656" s="70"/>
      <c r="F656" s="70"/>
      <c r="G656" s="76"/>
      <c r="I656" s="72"/>
    </row>
    <row r="657" spans="1:9" ht="11.25" customHeight="1">
      <c r="A657" s="68" t="s">
        <v>25</v>
      </c>
      <c r="B657" s="69">
        <v>1988</v>
      </c>
      <c r="C657" s="70">
        <v>1251563117</v>
      </c>
      <c r="D657" s="70">
        <v>931078974</v>
      </c>
      <c r="E657" s="70">
        <v>2156992186</v>
      </c>
      <c r="F657" s="70">
        <v>0</v>
      </c>
      <c r="G657" s="71">
        <f>SUM(C657:F657)</f>
        <v>4339634277</v>
      </c>
      <c r="H657" s="60">
        <v>0</v>
      </c>
      <c r="I657" s="72"/>
    </row>
    <row r="658" spans="1:9">
      <c r="A658" s="68" t="s">
        <v>25</v>
      </c>
      <c r="B658" s="69">
        <v>1989</v>
      </c>
      <c r="C658" s="70">
        <v>1198180850</v>
      </c>
      <c r="D658" s="70">
        <v>1123059899</v>
      </c>
      <c r="E658" s="70">
        <v>2124022136</v>
      </c>
      <c r="F658" s="70">
        <v>0</v>
      </c>
      <c r="G658" s="71">
        <f t="shared" ref="G658:G681" si="30">SUM(C658:F658)</f>
        <v>4445262885</v>
      </c>
      <c r="H658" s="60">
        <v>0</v>
      </c>
      <c r="I658" s="72"/>
    </row>
    <row r="659" spans="1:9">
      <c r="A659" s="68" t="s">
        <v>25</v>
      </c>
      <c r="B659" s="69">
        <v>1990</v>
      </c>
      <c r="C659" s="70">
        <v>1240651317</v>
      </c>
      <c r="D659" s="70">
        <v>1097030145.5599999</v>
      </c>
      <c r="E659" s="70">
        <v>2324782100</v>
      </c>
      <c r="F659" s="70">
        <v>0</v>
      </c>
      <c r="G659" s="71">
        <f t="shared" si="30"/>
        <v>4662463562.5599995</v>
      </c>
      <c r="H659" s="60">
        <v>0</v>
      </c>
      <c r="I659" s="72"/>
    </row>
    <row r="660" spans="1:9">
      <c r="A660" s="68" t="s">
        <v>25</v>
      </c>
      <c r="B660" s="69">
        <v>1991</v>
      </c>
      <c r="C660" s="70">
        <v>1349911823</v>
      </c>
      <c r="D660" s="70">
        <v>1389277893</v>
      </c>
      <c r="E660" s="70">
        <v>2060112323</v>
      </c>
      <c r="F660" s="70">
        <v>0</v>
      </c>
      <c r="G660" s="71">
        <f t="shared" si="30"/>
        <v>4799302039</v>
      </c>
      <c r="H660" s="60">
        <v>0</v>
      </c>
      <c r="I660" s="72"/>
    </row>
    <row r="661" spans="1:9">
      <c r="A661" s="68" t="s">
        <v>25</v>
      </c>
      <c r="B661" s="69">
        <v>1992</v>
      </c>
      <c r="C661" s="70">
        <v>1459548738</v>
      </c>
      <c r="D661" s="70">
        <v>1175246705.76</v>
      </c>
      <c r="E661" s="70">
        <v>2124405592</v>
      </c>
      <c r="F661" s="70">
        <v>0</v>
      </c>
      <c r="G661" s="71">
        <f t="shared" si="30"/>
        <v>4759201035.7600002</v>
      </c>
      <c r="H661" s="60">
        <v>0</v>
      </c>
      <c r="I661" s="72"/>
    </row>
    <row r="662" spans="1:9">
      <c r="A662" s="68" t="s">
        <v>25</v>
      </c>
      <c r="B662" s="69">
        <v>1993</v>
      </c>
      <c r="C662" s="70">
        <v>1527419510</v>
      </c>
      <c r="D662" s="70">
        <v>989233343</v>
      </c>
      <c r="E662" s="70">
        <v>2188748651</v>
      </c>
      <c r="F662" s="70">
        <v>0</v>
      </c>
      <c r="G662" s="71">
        <f t="shared" si="30"/>
        <v>4705401504</v>
      </c>
      <c r="H662" s="60">
        <v>0</v>
      </c>
      <c r="I662" s="72"/>
    </row>
    <row r="663" spans="1:9">
      <c r="A663" s="68" t="s">
        <v>25</v>
      </c>
      <c r="B663" s="69">
        <v>1994</v>
      </c>
      <c r="C663" s="70">
        <v>1671769259</v>
      </c>
      <c r="D663" s="70">
        <v>1204134118</v>
      </c>
      <c r="E663" s="70">
        <v>2189107887</v>
      </c>
      <c r="F663" s="70">
        <v>0</v>
      </c>
      <c r="G663" s="71">
        <f t="shared" si="30"/>
        <v>5065011264</v>
      </c>
      <c r="H663" s="60">
        <v>0</v>
      </c>
      <c r="I663" s="72"/>
    </row>
    <row r="664" spans="1:9">
      <c r="A664" s="68" t="s">
        <v>25</v>
      </c>
      <c r="B664" s="69">
        <v>1995</v>
      </c>
      <c r="C664" s="70">
        <v>1839124315</v>
      </c>
      <c r="D664" s="70">
        <v>1188539399</v>
      </c>
      <c r="E664" s="70">
        <v>2347301665</v>
      </c>
      <c r="F664" s="70">
        <v>0</v>
      </c>
      <c r="G664" s="71">
        <f t="shared" si="30"/>
        <v>5374965379</v>
      </c>
      <c r="H664" s="60">
        <v>0</v>
      </c>
      <c r="I664" s="72"/>
    </row>
    <row r="665" spans="1:9">
      <c r="A665" s="68" t="s">
        <v>25</v>
      </c>
      <c r="B665" s="69">
        <v>1996</v>
      </c>
      <c r="C665" s="70">
        <v>1682414277</v>
      </c>
      <c r="D665" s="70">
        <v>1114522624</v>
      </c>
      <c r="E665" s="70">
        <v>2383805840</v>
      </c>
      <c r="F665" s="70">
        <v>0</v>
      </c>
      <c r="G665" s="71">
        <f t="shared" si="30"/>
        <v>5180742741</v>
      </c>
      <c r="H665" s="60">
        <v>0</v>
      </c>
      <c r="I665" s="72"/>
    </row>
    <row r="666" spans="1:9">
      <c r="A666" s="68" t="s">
        <v>25</v>
      </c>
      <c r="B666" s="69">
        <v>1997</v>
      </c>
      <c r="C666" s="70">
        <v>1669250470</v>
      </c>
      <c r="D666" s="70">
        <v>1139674732</v>
      </c>
      <c r="E666" s="70">
        <v>2374229300</v>
      </c>
      <c r="F666" s="70">
        <v>0</v>
      </c>
      <c r="G666" s="71">
        <f t="shared" si="30"/>
        <v>5183154502</v>
      </c>
      <c r="H666" s="60">
        <v>0</v>
      </c>
      <c r="I666" s="72"/>
    </row>
    <row r="667" spans="1:9">
      <c r="A667" s="68" t="s">
        <v>25</v>
      </c>
      <c r="B667" s="69">
        <v>1998</v>
      </c>
      <c r="C667" s="70">
        <v>1637956937</v>
      </c>
      <c r="D667" s="70">
        <v>1032414678</v>
      </c>
      <c r="E667" s="70">
        <v>2420090787</v>
      </c>
      <c r="F667" s="70">
        <v>0</v>
      </c>
      <c r="G667" s="71">
        <f t="shared" si="30"/>
        <v>5090462402</v>
      </c>
      <c r="H667" s="60">
        <v>0</v>
      </c>
      <c r="I667" s="72"/>
    </row>
    <row r="668" spans="1:9">
      <c r="A668" s="68" t="s">
        <v>25</v>
      </c>
      <c r="B668" s="69">
        <v>1999</v>
      </c>
      <c r="C668" s="70">
        <v>1653760006</v>
      </c>
      <c r="D668" s="70">
        <v>1275930746</v>
      </c>
      <c r="E668" s="70">
        <v>2502569907</v>
      </c>
      <c r="F668" s="70">
        <v>0</v>
      </c>
      <c r="G668" s="71">
        <f t="shared" si="30"/>
        <v>5432260659</v>
      </c>
      <c r="H668" s="60">
        <v>0</v>
      </c>
      <c r="I668" s="72"/>
    </row>
    <row r="669" spans="1:9">
      <c r="A669" s="68" t="s">
        <v>25</v>
      </c>
      <c r="B669" s="69">
        <v>2000</v>
      </c>
      <c r="C669" s="70">
        <v>1668186368</v>
      </c>
      <c r="D669" s="70">
        <v>1408762316</v>
      </c>
      <c r="E669" s="70">
        <v>2577689385</v>
      </c>
      <c r="F669" s="70">
        <v>0</v>
      </c>
      <c r="G669" s="71">
        <f t="shared" si="30"/>
        <v>5654638069</v>
      </c>
      <c r="H669" s="60">
        <v>0</v>
      </c>
      <c r="I669" s="72"/>
    </row>
    <row r="670" spans="1:9">
      <c r="A670" s="68" t="s">
        <v>25</v>
      </c>
      <c r="B670" s="69">
        <v>2001</v>
      </c>
      <c r="C670" s="70">
        <v>1736935205</v>
      </c>
      <c r="D670" s="70">
        <v>2505513264.75</v>
      </c>
      <c r="E670" s="70">
        <v>3006597001</v>
      </c>
      <c r="F670" s="70">
        <v>0</v>
      </c>
      <c r="G670" s="71">
        <f t="shared" si="30"/>
        <v>7249045470.75</v>
      </c>
      <c r="H670" s="60">
        <v>0</v>
      </c>
      <c r="I670" s="72"/>
    </row>
    <row r="671" spans="1:9">
      <c r="A671" s="68" t="s">
        <v>25</v>
      </c>
      <c r="B671" s="69">
        <v>2002</v>
      </c>
      <c r="C671" s="70">
        <v>1831224742</v>
      </c>
      <c r="D671" s="70">
        <v>2733458900</v>
      </c>
      <c r="E671" s="70">
        <v>3242178827</v>
      </c>
      <c r="F671" s="70">
        <v>0</v>
      </c>
      <c r="G671" s="71">
        <f t="shared" si="30"/>
        <v>7806862469</v>
      </c>
      <c r="H671" s="60">
        <v>0</v>
      </c>
      <c r="I671" s="72"/>
    </row>
    <row r="672" spans="1:9">
      <c r="A672" s="68" t="s">
        <v>25</v>
      </c>
      <c r="B672" s="69">
        <v>2003</v>
      </c>
      <c r="C672" s="73">
        <v>1943903479</v>
      </c>
      <c r="D672" s="73">
        <v>2479348400</v>
      </c>
      <c r="E672" s="73">
        <v>3659027426</v>
      </c>
      <c r="F672" s="70">
        <v>0</v>
      </c>
      <c r="G672" s="71">
        <f t="shared" si="30"/>
        <v>8082279305</v>
      </c>
      <c r="H672" s="60">
        <v>0</v>
      </c>
      <c r="I672" s="72"/>
    </row>
    <row r="673" spans="1:9">
      <c r="A673" s="68" t="s">
        <v>25</v>
      </c>
      <c r="B673" s="69">
        <v>2004</v>
      </c>
      <c r="C673" s="73">
        <v>2021695012</v>
      </c>
      <c r="D673" s="73">
        <v>2499720306</v>
      </c>
      <c r="E673" s="73">
        <v>4088974451</v>
      </c>
      <c r="F673" s="70">
        <v>0</v>
      </c>
      <c r="G673" s="71">
        <f t="shared" si="30"/>
        <v>8610389769</v>
      </c>
      <c r="H673" s="60">
        <v>0</v>
      </c>
      <c r="I673" s="72"/>
    </row>
    <row r="674" spans="1:9">
      <c r="A674" s="68" t="s">
        <v>25</v>
      </c>
      <c r="B674" s="69">
        <v>2005</v>
      </c>
      <c r="C674" s="73">
        <v>1966492499</v>
      </c>
      <c r="D674" s="73">
        <v>2320042164</v>
      </c>
      <c r="E674" s="73">
        <v>4485178309</v>
      </c>
      <c r="F674" s="70">
        <v>0</v>
      </c>
      <c r="G674" s="71">
        <f t="shared" si="30"/>
        <v>8771712972</v>
      </c>
      <c r="H674" s="60">
        <v>0</v>
      </c>
      <c r="I674" s="72"/>
    </row>
    <row r="675" spans="1:9">
      <c r="A675" s="68" t="s">
        <v>25</v>
      </c>
      <c r="B675" s="69">
        <v>2006</v>
      </c>
      <c r="C675" s="74">
        <v>2115297355</v>
      </c>
      <c r="D675" s="74">
        <v>2816433582</v>
      </c>
      <c r="E675" s="74">
        <v>5073583309</v>
      </c>
      <c r="F675" s="70">
        <v>0</v>
      </c>
      <c r="G675" s="71">
        <f t="shared" si="30"/>
        <v>10005314246</v>
      </c>
      <c r="H675" s="60">
        <v>0</v>
      </c>
      <c r="I675" s="72"/>
    </row>
    <row r="676" spans="1:9">
      <c r="A676" s="68" t="s">
        <v>25</v>
      </c>
      <c r="B676" s="69">
        <v>2007</v>
      </c>
      <c r="C676" s="74">
        <v>2169656374</v>
      </c>
      <c r="D676" s="74">
        <v>2417866053</v>
      </c>
      <c r="E676" s="74">
        <v>5517388174</v>
      </c>
      <c r="F676" s="74">
        <v>0</v>
      </c>
      <c r="G676" s="71">
        <f t="shared" si="30"/>
        <v>10104910601</v>
      </c>
      <c r="H676" s="60">
        <v>0</v>
      </c>
      <c r="I676" s="72"/>
    </row>
    <row r="677" spans="1:9">
      <c r="A677" s="68" t="s">
        <v>25</v>
      </c>
      <c r="B677" s="69">
        <v>2008</v>
      </c>
      <c r="C677" s="74">
        <v>2190546307</v>
      </c>
      <c r="D677" s="74">
        <v>3723154933</v>
      </c>
      <c r="E677" s="74">
        <v>6053273728</v>
      </c>
      <c r="F677" s="74">
        <v>0</v>
      </c>
      <c r="G677" s="71">
        <f t="shared" si="30"/>
        <v>11966974968</v>
      </c>
      <c r="H677" s="60">
        <v>0</v>
      </c>
      <c r="I677" s="72"/>
    </row>
    <row r="678" spans="1:9">
      <c r="A678" s="68" t="s">
        <v>25</v>
      </c>
      <c r="B678" s="69">
        <v>2009</v>
      </c>
      <c r="C678" s="74">
        <v>2427879062</v>
      </c>
      <c r="D678" s="74">
        <v>3635022384</v>
      </c>
      <c r="E678" s="74">
        <v>6263415684</v>
      </c>
      <c r="F678" s="74">
        <v>0</v>
      </c>
      <c r="G678" s="71">
        <f t="shared" si="30"/>
        <v>12326317130</v>
      </c>
      <c r="H678" s="60">
        <v>0</v>
      </c>
      <c r="I678" s="72"/>
    </row>
    <row r="679" spans="1:9">
      <c r="A679" s="68" t="s">
        <v>25</v>
      </c>
      <c r="B679" s="69">
        <v>2010</v>
      </c>
      <c r="C679" s="74">
        <v>2311852743</v>
      </c>
      <c r="D679" s="74">
        <v>3359298780</v>
      </c>
      <c r="E679" s="74">
        <v>6585751698</v>
      </c>
      <c r="F679" s="74">
        <v>0</v>
      </c>
      <c r="G679" s="71">
        <f t="shared" si="30"/>
        <v>12256903221</v>
      </c>
      <c r="H679" s="60">
        <v>0</v>
      </c>
      <c r="I679" s="72"/>
    </row>
    <row r="680" spans="1:9">
      <c r="A680" s="68" t="s">
        <v>25</v>
      </c>
      <c r="B680" s="69">
        <v>2011</v>
      </c>
      <c r="C680" s="74">
        <v>2393944168</v>
      </c>
      <c r="D680" s="74">
        <v>3549689210</v>
      </c>
      <c r="E680" s="74">
        <v>6656052457.8199997</v>
      </c>
      <c r="F680" s="74">
        <v>0</v>
      </c>
      <c r="G680" s="71">
        <f t="shared" si="30"/>
        <v>12599685835.82</v>
      </c>
      <c r="H680" s="60">
        <v>0</v>
      </c>
      <c r="I680" s="72"/>
    </row>
    <row r="681" spans="1:9">
      <c r="A681" s="68" t="s">
        <v>25</v>
      </c>
      <c r="B681" s="69">
        <v>2012</v>
      </c>
      <c r="C681" s="74">
        <v>2429857507</v>
      </c>
      <c r="D681" s="74">
        <v>4581265853</v>
      </c>
      <c r="E681" s="74">
        <v>6373956489</v>
      </c>
      <c r="F681" s="74">
        <v>0</v>
      </c>
      <c r="G681" s="71">
        <f t="shared" si="30"/>
        <v>13385079849</v>
      </c>
      <c r="H681" s="60">
        <v>0</v>
      </c>
      <c r="I681" s="72"/>
    </row>
    <row r="682" spans="1:9">
      <c r="A682" s="68"/>
      <c r="C682" s="70"/>
      <c r="D682" s="70"/>
      <c r="E682" s="70"/>
      <c r="F682" s="70"/>
      <c r="G682" s="76"/>
      <c r="I682" s="72"/>
    </row>
    <row r="683" spans="1:9">
      <c r="A683" s="68" t="s">
        <v>26</v>
      </c>
      <c r="B683" s="69">
        <v>1988</v>
      </c>
      <c r="C683" s="70">
        <v>169041608</v>
      </c>
      <c r="D683" s="70">
        <v>148382870</v>
      </c>
      <c r="E683" s="70">
        <v>143818697</v>
      </c>
      <c r="F683" s="70">
        <v>34022445</v>
      </c>
      <c r="G683" s="71">
        <f>SUM(C683:F683)</f>
        <v>495265620</v>
      </c>
      <c r="H683" s="60">
        <v>0</v>
      </c>
      <c r="I683" s="72"/>
    </row>
    <row r="684" spans="1:9">
      <c r="A684" s="68" t="s">
        <v>26</v>
      </c>
      <c r="B684" s="69">
        <v>1989</v>
      </c>
      <c r="C684" s="70">
        <v>147923715</v>
      </c>
      <c r="D684" s="70">
        <v>178608344</v>
      </c>
      <c r="E684" s="70">
        <v>159327524</v>
      </c>
      <c r="F684" s="70">
        <v>28160686</v>
      </c>
      <c r="G684" s="71">
        <f t="shared" ref="G684:G701" si="31">SUM(C684:F684)</f>
        <v>514020269</v>
      </c>
      <c r="H684" s="60">
        <v>0</v>
      </c>
      <c r="I684" s="72"/>
    </row>
    <row r="685" spans="1:9">
      <c r="A685" s="68" t="s">
        <v>26</v>
      </c>
      <c r="B685" s="69">
        <v>1990</v>
      </c>
      <c r="C685" s="70">
        <v>151461664</v>
      </c>
      <c r="D685" s="70">
        <v>174514866.52000001</v>
      </c>
      <c r="E685" s="70">
        <v>168978142</v>
      </c>
      <c r="F685" s="70">
        <v>28984099</v>
      </c>
      <c r="G685" s="71">
        <f t="shared" si="31"/>
        <v>523938771.51999998</v>
      </c>
      <c r="H685" s="60">
        <v>0</v>
      </c>
      <c r="I685" s="72"/>
    </row>
    <row r="686" spans="1:9">
      <c r="A686" s="68" t="s">
        <v>26</v>
      </c>
      <c r="B686" s="69">
        <v>1991</v>
      </c>
      <c r="C686" s="70">
        <v>159736732</v>
      </c>
      <c r="D686" s="70">
        <v>168421262</v>
      </c>
      <c r="E686" s="70">
        <v>182006785</v>
      </c>
      <c r="F686" s="70">
        <v>0</v>
      </c>
      <c r="G686" s="71">
        <f t="shared" si="31"/>
        <v>510164779</v>
      </c>
      <c r="H686" s="60">
        <v>0</v>
      </c>
      <c r="I686" s="72"/>
    </row>
    <row r="687" spans="1:9">
      <c r="A687" s="68" t="s">
        <v>26</v>
      </c>
      <c r="B687" s="69">
        <v>1992</v>
      </c>
      <c r="C687" s="70">
        <v>167589649</v>
      </c>
      <c r="D687" s="70">
        <v>177152069.47999999</v>
      </c>
      <c r="E687" s="70">
        <v>194197079</v>
      </c>
      <c r="F687" s="70">
        <v>0</v>
      </c>
      <c r="G687" s="71">
        <f t="shared" si="31"/>
        <v>538938797.48000002</v>
      </c>
      <c r="H687" s="60">
        <v>0</v>
      </c>
      <c r="I687" s="72"/>
    </row>
    <row r="688" spans="1:9">
      <c r="A688" s="68" t="s">
        <v>26</v>
      </c>
      <c r="B688" s="69">
        <v>1993</v>
      </c>
      <c r="C688" s="70">
        <v>176808984</v>
      </c>
      <c r="D688" s="70">
        <v>137333187</v>
      </c>
      <c r="E688" s="70">
        <v>206653950</v>
      </c>
      <c r="F688" s="70">
        <v>40838724</v>
      </c>
      <c r="G688" s="71">
        <f t="shared" si="31"/>
        <v>561634845</v>
      </c>
      <c r="H688" s="60">
        <v>0</v>
      </c>
      <c r="I688" s="72"/>
    </row>
    <row r="689" spans="1:9">
      <c r="A689" s="68" t="s">
        <v>26</v>
      </c>
      <c r="B689" s="69">
        <v>1994</v>
      </c>
      <c r="C689" s="70">
        <v>184354230</v>
      </c>
      <c r="D689" s="70">
        <v>179294334</v>
      </c>
      <c r="E689" s="70">
        <v>216362491</v>
      </c>
      <c r="F689" s="70">
        <v>41066926</v>
      </c>
      <c r="G689" s="71">
        <f t="shared" si="31"/>
        <v>621077981</v>
      </c>
      <c r="H689" s="60">
        <v>0</v>
      </c>
      <c r="I689" s="72"/>
    </row>
    <row r="690" spans="1:9">
      <c r="A690" s="68" t="s">
        <v>26</v>
      </c>
      <c r="B690" s="69">
        <v>1995</v>
      </c>
      <c r="C690" s="70">
        <v>190008113</v>
      </c>
      <c r="D690" s="70">
        <v>163550032</v>
      </c>
      <c r="E690" s="70">
        <v>218117329</v>
      </c>
      <c r="F690" s="70">
        <v>36557026</v>
      </c>
      <c r="G690" s="71">
        <f t="shared" si="31"/>
        <v>608232500</v>
      </c>
      <c r="H690" s="60">
        <v>0</v>
      </c>
      <c r="I690" s="72"/>
    </row>
    <row r="691" spans="1:9">
      <c r="A691" s="68" t="s">
        <v>26</v>
      </c>
      <c r="B691" s="69">
        <v>1996</v>
      </c>
      <c r="C691" s="70">
        <v>193636502</v>
      </c>
      <c r="D691" s="70">
        <v>118717121</v>
      </c>
      <c r="E691" s="70">
        <v>228259960</v>
      </c>
      <c r="F691" s="70">
        <v>19699949</v>
      </c>
      <c r="G691" s="71">
        <f t="shared" si="31"/>
        <v>560313532</v>
      </c>
      <c r="H691" s="60">
        <v>0</v>
      </c>
      <c r="I691" s="72"/>
    </row>
    <row r="692" spans="1:9">
      <c r="A692" s="68" t="s">
        <v>26</v>
      </c>
      <c r="B692" s="69">
        <v>1997</v>
      </c>
      <c r="C692" s="70">
        <v>193559711</v>
      </c>
      <c r="D692" s="70">
        <v>114621272</v>
      </c>
      <c r="E692" s="70">
        <v>233730642</v>
      </c>
      <c r="F692" s="70">
        <v>24378933</v>
      </c>
      <c r="G692" s="71">
        <f t="shared" si="31"/>
        <v>566290558</v>
      </c>
      <c r="H692" s="60">
        <v>0</v>
      </c>
      <c r="I692" s="72"/>
    </row>
    <row r="693" spans="1:9">
      <c r="A693" s="68" t="s">
        <v>26</v>
      </c>
      <c r="B693" s="69">
        <v>1998</v>
      </c>
      <c r="C693" s="70">
        <v>185814389</v>
      </c>
      <c r="D693" s="70">
        <v>112354833</v>
      </c>
      <c r="E693" s="70">
        <v>240114841</v>
      </c>
      <c r="F693" s="70">
        <v>30435668</v>
      </c>
      <c r="G693" s="71">
        <f t="shared" si="31"/>
        <v>568719731</v>
      </c>
      <c r="H693" s="60">
        <v>0</v>
      </c>
      <c r="I693" s="72"/>
    </row>
    <row r="694" spans="1:9">
      <c r="A694" s="68" t="s">
        <v>26</v>
      </c>
      <c r="B694" s="69">
        <v>1999</v>
      </c>
      <c r="C694" s="70">
        <v>190832253</v>
      </c>
      <c r="D694" s="70">
        <v>146602863</v>
      </c>
      <c r="E694" s="70">
        <v>251313879</v>
      </c>
      <c r="F694" s="70">
        <v>21499523</v>
      </c>
      <c r="G694" s="71">
        <f t="shared" si="31"/>
        <v>610248518</v>
      </c>
      <c r="H694" s="60">
        <v>0</v>
      </c>
      <c r="I694" s="72"/>
    </row>
    <row r="695" spans="1:9">
      <c r="A695" s="68" t="s">
        <v>26</v>
      </c>
      <c r="B695" s="69">
        <v>2000</v>
      </c>
      <c r="C695" s="70">
        <v>195293601</v>
      </c>
      <c r="D695" s="70">
        <v>182761370</v>
      </c>
      <c r="E695" s="70">
        <v>267438449</v>
      </c>
      <c r="F695" s="70">
        <v>18416508</v>
      </c>
      <c r="G695" s="71">
        <f t="shared" si="31"/>
        <v>663909928</v>
      </c>
      <c r="H695" s="60">
        <v>0</v>
      </c>
      <c r="I695" s="72"/>
    </row>
    <row r="696" spans="1:9">
      <c r="A696" s="68" t="s">
        <v>26</v>
      </c>
      <c r="B696" s="69">
        <v>2001</v>
      </c>
      <c r="C696" s="70">
        <v>196489776</v>
      </c>
      <c r="D696" s="70">
        <v>207425482</v>
      </c>
      <c r="E696" s="70">
        <v>300463230</v>
      </c>
      <c r="F696" s="70">
        <v>26302806</v>
      </c>
      <c r="G696" s="71">
        <f t="shared" si="31"/>
        <v>730681294</v>
      </c>
      <c r="H696" s="60">
        <v>0</v>
      </c>
      <c r="I696" s="72"/>
    </row>
    <row r="697" spans="1:9">
      <c r="A697" s="68" t="s">
        <v>26</v>
      </c>
      <c r="B697" s="69">
        <v>2002</v>
      </c>
      <c r="C697" s="70">
        <v>228114256</v>
      </c>
      <c r="D697" s="70">
        <v>247001321</v>
      </c>
      <c r="E697" s="70">
        <v>285510925</v>
      </c>
      <c r="F697" s="70">
        <v>28760226</v>
      </c>
      <c r="G697" s="71">
        <f t="shared" si="31"/>
        <v>789386728</v>
      </c>
      <c r="H697" s="60">
        <v>0</v>
      </c>
      <c r="I697" s="72"/>
    </row>
    <row r="698" spans="1:9">
      <c r="A698" s="68" t="s">
        <v>26</v>
      </c>
      <c r="B698" s="69">
        <v>2003</v>
      </c>
      <c r="C698" s="73">
        <v>200687914</v>
      </c>
      <c r="D698" s="73">
        <v>230912704</v>
      </c>
      <c r="E698" s="73">
        <v>326378682</v>
      </c>
      <c r="F698" s="73">
        <v>4039810</v>
      </c>
      <c r="G698" s="71">
        <f t="shared" si="31"/>
        <v>762019110</v>
      </c>
      <c r="H698" s="60">
        <f>1609615+178</f>
        <v>1609793</v>
      </c>
      <c r="I698" s="60" t="s">
        <v>402</v>
      </c>
    </row>
    <row r="699" spans="1:9">
      <c r="A699" s="68" t="s">
        <v>26</v>
      </c>
      <c r="B699" s="69">
        <v>2004</v>
      </c>
      <c r="C699" s="73">
        <v>208199260</v>
      </c>
      <c r="D699" s="73">
        <v>258729569</v>
      </c>
      <c r="E699" s="73">
        <v>328163224</v>
      </c>
      <c r="F699" s="73">
        <v>4882722</v>
      </c>
      <c r="G699" s="71">
        <f t="shared" si="31"/>
        <v>799974775</v>
      </c>
      <c r="H699" s="60">
        <v>1883841</v>
      </c>
      <c r="I699" s="60" t="s">
        <v>402</v>
      </c>
    </row>
    <row r="700" spans="1:9">
      <c r="A700" s="68" t="s">
        <v>26</v>
      </c>
      <c r="B700" s="69">
        <v>2005</v>
      </c>
      <c r="C700" s="73">
        <v>211045281</v>
      </c>
      <c r="D700" s="73">
        <v>239443767</v>
      </c>
      <c r="E700" s="73">
        <v>338709389</v>
      </c>
      <c r="F700" s="73">
        <v>13418591</v>
      </c>
      <c r="G700" s="71">
        <f t="shared" si="31"/>
        <v>802617028</v>
      </c>
      <c r="H700" s="60">
        <f>785251+117945</f>
        <v>903196</v>
      </c>
      <c r="I700" s="60" t="s">
        <v>402</v>
      </c>
    </row>
    <row r="701" spans="1:9">
      <c r="A701" s="68" t="s">
        <v>26</v>
      </c>
      <c r="B701" s="69">
        <v>2006</v>
      </c>
      <c r="C701" s="74">
        <v>227805187</v>
      </c>
      <c r="D701" s="74">
        <v>250827065</v>
      </c>
      <c r="E701" s="74">
        <v>358021964</v>
      </c>
      <c r="F701" s="74">
        <v>8050515</v>
      </c>
      <c r="G701" s="71">
        <f t="shared" si="31"/>
        <v>844704731</v>
      </c>
      <c r="H701" s="60">
        <v>1438443</v>
      </c>
      <c r="I701" s="60" t="s">
        <v>402</v>
      </c>
    </row>
    <row r="702" spans="1:9">
      <c r="A702" s="68" t="s">
        <v>26</v>
      </c>
      <c r="B702" s="69">
        <v>2007</v>
      </c>
      <c r="C702" s="74">
        <v>245059396</v>
      </c>
      <c r="D702" s="74">
        <v>238595697</v>
      </c>
      <c r="E702" s="74">
        <v>432056095</v>
      </c>
      <c r="F702" s="74">
        <v>24306100</v>
      </c>
      <c r="G702" s="71">
        <f t="shared" ref="G702:G707" si="32">SUM(C702:F702)</f>
        <v>940017288</v>
      </c>
      <c r="H702" s="60">
        <v>871548</v>
      </c>
      <c r="I702" s="60" t="s">
        <v>402</v>
      </c>
    </row>
    <row r="703" spans="1:9">
      <c r="A703" s="68" t="s">
        <v>26</v>
      </c>
      <c r="B703" s="69">
        <v>2008</v>
      </c>
      <c r="C703" s="74">
        <v>260776679</v>
      </c>
      <c r="D703" s="74">
        <v>319463772</v>
      </c>
      <c r="E703" s="74">
        <v>471542573</v>
      </c>
      <c r="F703" s="74">
        <v>7582004</v>
      </c>
      <c r="G703" s="71">
        <f t="shared" si="32"/>
        <v>1059365028</v>
      </c>
      <c r="H703" s="60">
        <v>1369555</v>
      </c>
      <c r="I703" s="60" t="s">
        <v>402</v>
      </c>
    </row>
    <row r="704" spans="1:9">
      <c r="A704" s="68" t="s">
        <v>26</v>
      </c>
      <c r="B704" s="69">
        <v>2009</v>
      </c>
      <c r="C704" s="74">
        <v>296416646</v>
      </c>
      <c r="D704" s="74">
        <v>312026561</v>
      </c>
      <c r="E704" s="74">
        <v>498434550</v>
      </c>
      <c r="F704" s="74">
        <v>8873352</v>
      </c>
      <c r="G704" s="71">
        <f t="shared" si="32"/>
        <v>1115751109</v>
      </c>
      <c r="H704" s="60">
        <v>1127744</v>
      </c>
      <c r="I704" s="60" t="s">
        <v>402</v>
      </c>
    </row>
    <row r="705" spans="1:9">
      <c r="A705" s="68" t="s">
        <v>26</v>
      </c>
      <c r="B705" s="69">
        <v>2010</v>
      </c>
      <c r="C705" s="74">
        <v>302627018</v>
      </c>
      <c r="D705" s="75">
        <v>307916293</v>
      </c>
      <c r="E705" s="74">
        <v>551070428</v>
      </c>
      <c r="F705" s="74">
        <v>4080653</v>
      </c>
      <c r="G705" s="71">
        <f t="shared" si="32"/>
        <v>1165694392</v>
      </c>
      <c r="H705" s="60">
        <v>1029482</v>
      </c>
      <c r="I705" s="60" t="s">
        <v>402</v>
      </c>
    </row>
    <row r="706" spans="1:9">
      <c r="A706" s="68" t="s">
        <v>26</v>
      </c>
      <c r="B706" s="69">
        <v>2011</v>
      </c>
      <c r="C706" s="74">
        <v>315228909</v>
      </c>
      <c r="D706" s="75">
        <v>318516072</v>
      </c>
      <c r="E706" s="74">
        <v>496465446</v>
      </c>
      <c r="F706" s="74">
        <v>6685346</v>
      </c>
      <c r="G706" s="71">
        <f t="shared" si="32"/>
        <v>1136895773</v>
      </c>
      <c r="H706" s="60">
        <v>1274739</v>
      </c>
      <c r="I706" s="60" t="s">
        <v>402</v>
      </c>
    </row>
    <row r="707" spans="1:9">
      <c r="A707" s="68" t="s">
        <v>26</v>
      </c>
      <c r="B707" s="69">
        <v>2012</v>
      </c>
      <c r="C707" s="74">
        <v>330777643</v>
      </c>
      <c r="D707" s="75">
        <v>311430804</v>
      </c>
      <c r="E707" s="74">
        <v>462625440</v>
      </c>
      <c r="F707" s="74">
        <v>23790523</v>
      </c>
      <c r="G707" s="71">
        <f t="shared" si="32"/>
        <v>1128624410</v>
      </c>
      <c r="H707" s="60">
        <v>1766233</v>
      </c>
      <c r="I707" s="60" t="s">
        <v>402</v>
      </c>
    </row>
    <row r="708" spans="1:9">
      <c r="A708" s="68"/>
      <c r="C708" s="70"/>
      <c r="D708" s="70"/>
      <c r="E708" s="70"/>
      <c r="F708" s="70"/>
      <c r="G708" s="76"/>
      <c r="I708" s="72"/>
    </row>
    <row r="709" spans="1:9">
      <c r="A709" s="68" t="s">
        <v>27</v>
      </c>
      <c r="B709" s="69">
        <v>1988</v>
      </c>
      <c r="C709" s="70">
        <v>433750438</v>
      </c>
      <c r="D709" s="70">
        <v>418065185</v>
      </c>
      <c r="E709" s="70">
        <v>629941666</v>
      </c>
      <c r="F709" s="70">
        <v>0</v>
      </c>
      <c r="G709" s="71">
        <f>SUM(C709:F709)</f>
        <v>1481757289</v>
      </c>
      <c r="H709" s="60">
        <v>0</v>
      </c>
      <c r="I709" s="72"/>
    </row>
    <row r="710" spans="1:9">
      <c r="A710" s="68" t="s">
        <v>27</v>
      </c>
      <c r="B710" s="69">
        <v>1989</v>
      </c>
      <c r="C710" s="70">
        <v>398868887</v>
      </c>
      <c r="D710" s="70">
        <v>450436550</v>
      </c>
      <c r="E710" s="70">
        <v>678877041</v>
      </c>
      <c r="F710" s="70">
        <v>0</v>
      </c>
      <c r="G710" s="71">
        <f t="shared" ref="G710:G733" si="33">SUM(C710:F710)</f>
        <v>1528182478</v>
      </c>
      <c r="H710" s="60">
        <v>0</v>
      </c>
      <c r="I710" s="72"/>
    </row>
    <row r="711" spans="1:9">
      <c r="A711" s="68" t="s">
        <v>27</v>
      </c>
      <c r="B711" s="69">
        <v>1990</v>
      </c>
      <c r="C711" s="70">
        <v>421996673</v>
      </c>
      <c r="D711" s="70">
        <v>467201546.16000003</v>
      </c>
      <c r="E711" s="70">
        <v>765338463</v>
      </c>
      <c r="F711" s="70">
        <v>0</v>
      </c>
      <c r="G711" s="71">
        <f t="shared" si="33"/>
        <v>1654536682.1600001</v>
      </c>
      <c r="H711" s="60">
        <v>0</v>
      </c>
      <c r="I711" s="72"/>
    </row>
    <row r="712" spans="1:9">
      <c r="A712" s="68" t="s">
        <v>27</v>
      </c>
      <c r="B712" s="69">
        <v>1991</v>
      </c>
      <c r="C712" s="70">
        <v>470693992</v>
      </c>
      <c r="D712" s="70">
        <v>480634914</v>
      </c>
      <c r="E712" s="70">
        <v>809821032</v>
      </c>
      <c r="F712" s="70">
        <v>0</v>
      </c>
      <c r="G712" s="71">
        <f t="shared" si="33"/>
        <v>1761149938</v>
      </c>
      <c r="H712" s="60">
        <v>0</v>
      </c>
      <c r="I712" s="72"/>
    </row>
    <row r="713" spans="1:9">
      <c r="A713" s="68" t="s">
        <v>27</v>
      </c>
      <c r="B713" s="69">
        <v>1992</v>
      </c>
      <c r="C713" s="70">
        <v>488454238</v>
      </c>
      <c r="D713" s="70">
        <v>439973744.92000002</v>
      </c>
      <c r="E713" s="70">
        <v>873692323</v>
      </c>
      <c r="F713" s="70">
        <v>0</v>
      </c>
      <c r="G713" s="71">
        <f t="shared" si="33"/>
        <v>1802120305.9200001</v>
      </c>
      <c r="H713" s="60">
        <v>0</v>
      </c>
      <c r="I713" s="72"/>
    </row>
    <row r="714" spans="1:9">
      <c r="A714" s="68" t="s">
        <v>27</v>
      </c>
      <c r="B714" s="69">
        <v>1993</v>
      </c>
      <c r="C714" s="70">
        <v>493313156</v>
      </c>
      <c r="D714" s="70">
        <v>345751489</v>
      </c>
      <c r="E714" s="70">
        <v>938737324</v>
      </c>
      <c r="F714" s="70">
        <v>0</v>
      </c>
      <c r="G714" s="71">
        <f t="shared" si="33"/>
        <v>1777801969</v>
      </c>
      <c r="H714" s="60">
        <v>0</v>
      </c>
      <c r="I714" s="72"/>
    </row>
    <row r="715" spans="1:9">
      <c r="A715" s="68" t="s">
        <v>27</v>
      </c>
      <c r="B715" s="69">
        <v>1994</v>
      </c>
      <c r="C715" s="70">
        <v>540223282</v>
      </c>
      <c r="D715" s="70">
        <v>712764436</v>
      </c>
      <c r="E715" s="70">
        <v>910908244</v>
      </c>
      <c r="F715" s="70">
        <v>0</v>
      </c>
      <c r="G715" s="71">
        <f t="shared" si="33"/>
        <v>2163895962</v>
      </c>
      <c r="H715" s="60">
        <v>0</v>
      </c>
      <c r="I715" s="72"/>
    </row>
    <row r="716" spans="1:9">
      <c r="A716" s="68" t="s">
        <v>27</v>
      </c>
      <c r="B716" s="69">
        <v>1995</v>
      </c>
      <c r="C716" s="70">
        <v>580304048</v>
      </c>
      <c r="D716" s="70">
        <v>1088285987</v>
      </c>
      <c r="E716" s="70">
        <v>946054978</v>
      </c>
      <c r="F716" s="70">
        <v>0</v>
      </c>
      <c r="G716" s="71">
        <f t="shared" si="33"/>
        <v>2614645013</v>
      </c>
      <c r="H716" s="60">
        <v>0</v>
      </c>
      <c r="I716" s="72"/>
    </row>
    <row r="717" spans="1:9">
      <c r="A717" s="68" t="s">
        <v>27</v>
      </c>
      <c r="B717" s="69">
        <v>1996</v>
      </c>
      <c r="C717" s="70">
        <v>573723813</v>
      </c>
      <c r="D717" s="70">
        <v>672044173</v>
      </c>
      <c r="E717" s="70">
        <v>984252981</v>
      </c>
      <c r="F717" s="70">
        <v>0</v>
      </c>
      <c r="G717" s="71">
        <f t="shared" si="33"/>
        <v>2230020967</v>
      </c>
      <c r="H717" s="60">
        <v>0</v>
      </c>
      <c r="I717" s="72"/>
    </row>
    <row r="718" spans="1:9">
      <c r="A718" s="68" t="s">
        <v>27</v>
      </c>
      <c r="B718" s="69">
        <v>1997</v>
      </c>
      <c r="C718" s="70">
        <v>574539177</v>
      </c>
      <c r="D718" s="70">
        <v>814868462</v>
      </c>
      <c r="E718" s="70">
        <v>1034818205</v>
      </c>
      <c r="F718" s="70">
        <v>0</v>
      </c>
      <c r="G718" s="71">
        <f t="shared" si="33"/>
        <v>2424225844</v>
      </c>
      <c r="H718" s="60">
        <v>0</v>
      </c>
      <c r="I718" s="72"/>
    </row>
    <row r="719" spans="1:9">
      <c r="A719" s="68" t="s">
        <v>27</v>
      </c>
      <c r="B719" s="69">
        <v>1998</v>
      </c>
      <c r="C719" s="70">
        <v>582942458</v>
      </c>
      <c r="D719" s="70">
        <v>782597180</v>
      </c>
      <c r="E719" s="70">
        <v>1122058076</v>
      </c>
      <c r="F719" s="70">
        <v>0</v>
      </c>
      <c r="G719" s="71">
        <f t="shared" si="33"/>
        <v>2487597714</v>
      </c>
      <c r="H719" s="60">
        <v>0</v>
      </c>
      <c r="I719" s="72"/>
    </row>
    <row r="720" spans="1:9">
      <c r="A720" s="68" t="s">
        <v>27</v>
      </c>
      <c r="B720" s="69">
        <v>1999</v>
      </c>
      <c r="C720" s="70">
        <v>577215782</v>
      </c>
      <c r="D720" s="70">
        <v>814694416</v>
      </c>
      <c r="E720" s="70">
        <v>1223157898</v>
      </c>
      <c r="F720" s="70">
        <v>0</v>
      </c>
      <c r="G720" s="71">
        <f t="shared" si="33"/>
        <v>2615068096</v>
      </c>
      <c r="H720" s="60">
        <v>0</v>
      </c>
      <c r="I720" s="72"/>
    </row>
    <row r="721" spans="1:9">
      <c r="A721" s="68" t="s">
        <v>27</v>
      </c>
      <c r="B721" s="69">
        <v>2000</v>
      </c>
      <c r="C721" s="70">
        <v>641780187</v>
      </c>
      <c r="D721" s="70">
        <v>1019551159</v>
      </c>
      <c r="E721" s="70">
        <v>1409656259</v>
      </c>
      <c r="F721" s="70">
        <v>0</v>
      </c>
      <c r="G721" s="71">
        <f t="shared" si="33"/>
        <v>3070987605</v>
      </c>
      <c r="H721" s="60">
        <v>0</v>
      </c>
      <c r="I721" s="72"/>
    </row>
    <row r="722" spans="1:9">
      <c r="A722" s="68" t="s">
        <v>27</v>
      </c>
      <c r="B722" s="69">
        <v>2001</v>
      </c>
      <c r="C722" s="70">
        <v>699068536</v>
      </c>
      <c r="D722" s="70">
        <v>1057962159</v>
      </c>
      <c r="E722" s="70">
        <v>1548095887</v>
      </c>
      <c r="F722" s="70">
        <v>0</v>
      </c>
      <c r="G722" s="71">
        <f t="shared" si="33"/>
        <v>3305126582</v>
      </c>
      <c r="H722" s="60">
        <v>0</v>
      </c>
      <c r="I722" s="72"/>
    </row>
    <row r="723" spans="1:9">
      <c r="A723" s="68" t="s">
        <v>27</v>
      </c>
      <c r="B723" s="69">
        <v>2002</v>
      </c>
      <c r="C723" s="70">
        <v>627399997</v>
      </c>
      <c r="D723" s="70">
        <v>1179581157</v>
      </c>
      <c r="E723" s="70">
        <v>1593082767</v>
      </c>
      <c r="F723" s="70">
        <v>0</v>
      </c>
      <c r="G723" s="71">
        <f t="shared" si="33"/>
        <v>3400063921</v>
      </c>
      <c r="H723" s="60">
        <v>0</v>
      </c>
      <c r="I723" s="72"/>
    </row>
    <row r="724" spans="1:9">
      <c r="A724" s="68" t="s">
        <v>27</v>
      </c>
      <c r="B724" s="69">
        <v>2003</v>
      </c>
      <c r="C724" s="73">
        <v>664892755</v>
      </c>
      <c r="D724" s="73">
        <v>1082884777</v>
      </c>
      <c r="E724" s="73">
        <v>1690586227</v>
      </c>
      <c r="F724" s="70">
        <v>0</v>
      </c>
      <c r="G724" s="71">
        <f t="shared" si="33"/>
        <v>3438363759</v>
      </c>
      <c r="H724" s="60">
        <v>0</v>
      </c>
      <c r="I724" s="72"/>
    </row>
    <row r="725" spans="1:9">
      <c r="A725" s="68" t="s">
        <v>27</v>
      </c>
      <c r="B725" s="69">
        <v>2004</v>
      </c>
      <c r="C725" s="73">
        <v>641792476</v>
      </c>
      <c r="D725" s="73">
        <v>1226532114</v>
      </c>
      <c r="E725" s="73">
        <v>1547901181</v>
      </c>
      <c r="F725" s="70">
        <v>0</v>
      </c>
      <c r="G725" s="71">
        <f t="shared" si="33"/>
        <v>3416225771</v>
      </c>
      <c r="H725" s="60">
        <v>0</v>
      </c>
      <c r="I725" s="72"/>
    </row>
    <row r="726" spans="1:9">
      <c r="A726" s="68" t="s">
        <v>27</v>
      </c>
      <c r="B726" s="69">
        <v>2005</v>
      </c>
      <c r="C726" s="73">
        <v>650727258</v>
      </c>
      <c r="D726" s="73">
        <v>876832903</v>
      </c>
      <c r="E726" s="73">
        <v>1772020498.4300001</v>
      </c>
      <c r="F726" s="70">
        <v>0</v>
      </c>
      <c r="G726" s="71">
        <f t="shared" si="33"/>
        <v>3299580659.4300003</v>
      </c>
      <c r="H726" s="60">
        <v>0</v>
      </c>
      <c r="I726" s="72"/>
    </row>
    <row r="727" spans="1:9">
      <c r="A727" s="68" t="s">
        <v>27</v>
      </c>
      <c r="B727" s="69">
        <v>2006</v>
      </c>
      <c r="C727" s="74">
        <v>704163418</v>
      </c>
      <c r="D727" s="74">
        <v>991369457</v>
      </c>
      <c r="E727" s="74">
        <v>1960362202</v>
      </c>
      <c r="F727" s="74">
        <v>0</v>
      </c>
      <c r="G727" s="71">
        <f t="shared" si="33"/>
        <v>3655895077</v>
      </c>
      <c r="H727" s="60">
        <v>0</v>
      </c>
      <c r="I727" s="72"/>
    </row>
    <row r="728" spans="1:9">
      <c r="A728" s="68" t="s">
        <v>27</v>
      </c>
      <c r="B728" s="69">
        <v>2007</v>
      </c>
      <c r="C728" s="74">
        <v>736930696</v>
      </c>
      <c r="D728" s="74">
        <v>873263967</v>
      </c>
      <c r="E728" s="74">
        <v>2072492924</v>
      </c>
      <c r="F728" s="74">
        <v>0</v>
      </c>
      <c r="G728" s="71">
        <f t="shared" si="33"/>
        <v>3682687587</v>
      </c>
      <c r="H728" s="60">
        <v>0</v>
      </c>
      <c r="I728" s="72"/>
    </row>
    <row r="729" spans="1:9">
      <c r="A729" s="68" t="s">
        <v>27</v>
      </c>
      <c r="B729" s="69">
        <v>2008</v>
      </c>
      <c r="C729" s="74">
        <v>783140776</v>
      </c>
      <c r="D729" s="74">
        <v>1104225894</v>
      </c>
      <c r="E729" s="74">
        <v>2159142526</v>
      </c>
      <c r="F729" s="74">
        <v>0</v>
      </c>
      <c r="G729" s="71">
        <f t="shared" si="33"/>
        <v>4046509196</v>
      </c>
      <c r="H729" s="60">
        <v>0</v>
      </c>
      <c r="I729" s="72"/>
    </row>
    <row r="730" spans="1:9">
      <c r="A730" s="68" t="s">
        <v>27</v>
      </c>
      <c r="B730" s="69">
        <v>2009</v>
      </c>
      <c r="C730" s="74">
        <v>805922664</v>
      </c>
      <c r="D730" s="74">
        <v>1108297962</v>
      </c>
      <c r="E730" s="74">
        <v>2266273577</v>
      </c>
      <c r="F730" s="74">
        <v>0</v>
      </c>
      <c r="G730" s="71">
        <f t="shared" si="33"/>
        <v>4180494203</v>
      </c>
      <c r="H730" s="60">
        <v>0</v>
      </c>
      <c r="I730" s="72"/>
    </row>
    <row r="731" spans="1:9">
      <c r="A731" s="68" t="s">
        <v>27</v>
      </c>
      <c r="B731" s="69">
        <v>2010</v>
      </c>
      <c r="C731" s="74">
        <v>851417024</v>
      </c>
      <c r="D731" s="74">
        <v>1019033620</v>
      </c>
      <c r="E731" s="74">
        <v>2401331471</v>
      </c>
      <c r="F731" s="74">
        <v>0</v>
      </c>
      <c r="G731" s="71">
        <f t="shared" si="33"/>
        <v>4271782115</v>
      </c>
      <c r="H731" s="60">
        <v>0</v>
      </c>
      <c r="I731" s="72"/>
    </row>
    <row r="732" spans="1:9">
      <c r="A732" s="68" t="s">
        <v>27</v>
      </c>
      <c r="B732" s="69">
        <v>2011</v>
      </c>
      <c r="C732" s="74">
        <v>864540536</v>
      </c>
      <c r="D732" s="74">
        <v>1099749707</v>
      </c>
      <c r="E732" s="74">
        <v>2455119787.7600002</v>
      </c>
      <c r="F732" s="74">
        <v>0</v>
      </c>
      <c r="G732" s="71">
        <f t="shared" si="33"/>
        <v>4419410030.7600002</v>
      </c>
      <c r="H732" s="60">
        <v>0</v>
      </c>
      <c r="I732" s="72"/>
    </row>
    <row r="733" spans="1:9">
      <c r="A733" s="68" t="s">
        <v>27</v>
      </c>
      <c r="B733" s="69">
        <v>2012</v>
      </c>
      <c r="C733" s="74">
        <v>930217473</v>
      </c>
      <c r="D733" s="74">
        <v>898697200</v>
      </c>
      <c r="E733" s="74">
        <v>2412900067</v>
      </c>
      <c r="F733" s="74">
        <v>0</v>
      </c>
      <c r="G733" s="71">
        <f t="shared" si="33"/>
        <v>4241814740</v>
      </c>
      <c r="H733" s="60">
        <v>0</v>
      </c>
      <c r="I733" s="72"/>
    </row>
    <row r="734" spans="1:9">
      <c r="A734" s="68"/>
      <c r="C734" s="70"/>
      <c r="D734" s="70"/>
      <c r="E734" s="70"/>
      <c r="F734" s="70"/>
      <c r="G734" s="76"/>
      <c r="I734" s="72"/>
    </row>
    <row r="735" spans="1:9">
      <c r="A735" s="68" t="s">
        <v>28</v>
      </c>
      <c r="B735" s="69">
        <v>1988</v>
      </c>
      <c r="C735" s="70">
        <v>188056206</v>
      </c>
      <c r="D735" s="70">
        <v>159617086</v>
      </c>
      <c r="E735" s="70">
        <v>239835297</v>
      </c>
      <c r="F735" s="70">
        <v>0</v>
      </c>
      <c r="G735" s="71">
        <f>SUM(C735:F735)</f>
        <v>587508589</v>
      </c>
      <c r="H735" s="60">
        <v>0</v>
      </c>
      <c r="I735" s="72"/>
    </row>
    <row r="736" spans="1:9">
      <c r="A736" s="68" t="s">
        <v>28</v>
      </c>
      <c r="B736" s="69">
        <v>1989</v>
      </c>
      <c r="C736" s="70">
        <v>187685850</v>
      </c>
      <c r="D736" s="70">
        <v>179579717</v>
      </c>
      <c r="E736" s="70">
        <v>278227085</v>
      </c>
      <c r="F736" s="70">
        <v>0</v>
      </c>
      <c r="G736" s="71">
        <f t="shared" ref="G736:G759" si="34">SUM(C736:F736)</f>
        <v>645492652</v>
      </c>
      <c r="H736" s="60">
        <v>0</v>
      </c>
      <c r="I736" s="72"/>
    </row>
    <row r="737" spans="1:9">
      <c r="A737" s="68" t="s">
        <v>28</v>
      </c>
      <c r="B737" s="69">
        <v>1990</v>
      </c>
      <c r="C737" s="70">
        <v>211526018</v>
      </c>
      <c r="D737" s="70">
        <v>209381798.28</v>
      </c>
      <c r="E737" s="70">
        <v>329258460</v>
      </c>
      <c r="F737" s="70">
        <v>0</v>
      </c>
      <c r="G737" s="71">
        <f t="shared" si="34"/>
        <v>750166276.27999997</v>
      </c>
      <c r="H737" s="60">
        <v>0</v>
      </c>
      <c r="I737" s="72"/>
    </row>
    <row r="738" spans="1:9">
      <c r="A738" s="68" t="s">
        <v>28</v>
      </c>
      <c r="B738" s="69">
        <v>1991</v>
      </c>
      <c r="C738" s="70">
        <v>235029695</v>
      </c>
      <c r="D738" s="70">
        <v>257079113</v>
      </c>
      <c r="E738" s="70">
        <v>347250712</v>
      </c>
      <c r="F738" s="70">
        <v>0</v>
      </c>
      <c r="G738" s="71">
        <f t="shared" si="34"/>
        <v>839359520</v>
      </c>
      <c r="H738" s="60">
        <v>0</v>
      </c>
      <c r="I738" s="72"/>
    </row>
    <row r="739" spans="1:9">
      <c r="A739" s="68" t="s">
        <v>28</v>
      </c>
      <c r="B739" s="69">
        <v>1992</v>
      </c>
      <c r="C739" s="70">
        <v>252421794</v>
      </c>
      <c r="D739" s="70">
        <v>228215561.12</v>
      </c>
      <c r="E739" s="70">
        <v>354132389</v>
      </c>
      <c r="F739" s="70">
        <v>0</v>
      </c>
      <c r="G739" s="71">
        <f t="shared" si="34"/>
        <v>834769744.12</v>
      </c>
      <c r="H739" s="60">
        <v>0</v>
      </c>
      <c r="I739" s="72"/>
    </row>
    <row r="740" spans="1:9">
      <c r="A740" s="68" t="s">
        <v>28</v>
      </c>
      <c r="B740" s="69">
        <v>1993</v>
      </c>
      <c r="C740" s="70">
        <v>259412256</v>
      </c>
      <c r="D740" s="70">
        <v>224454266</v>
      </c>
      <c r="E740" s="70">
        <v>382539332</v>
      </c>
      <c r="F740" s="70">
        <v>0</v>
      </c>
      <c r="G740" s="71">
        <f t="shared" si="34"/>
        <v>866405854</v>
      </c>
      <c r="H740" s="60">
        <v>0</v>
      </c>
      <c r="I740" s="72"/>
    </row>
    <row r="741" spans="1:9">
      <c r="A741" s="68" t="s">
        <v>28</v>
      </c>
      <c r="B741" s="69">
        <v>1994</v>
      </c>
      <c r="C741" s="70">
        <v>303621694</v>
      </c>
      <c r="D741" s="70">
        <v>330815670</v>
      </c>
      <c r="E741" s="70">
        <v>398438708</v>
      </c>
      <c r="F741" s="70">
        <v>0</v>
      </c>
      <c r="G741" s="71">
        <f t="shared" si="34"/>
        <v>1032876072</v>
      </c>
      <c r="H741" s="60">
        <v>0</v>
      </c>
      <c r="I741" s="72"/>
    </row>
    <row r="742" spans="1:9">
      <c r="A742" s="68" t="s">
        <v>28</v>
      </c>
      <c r="B742" s="69">
        <v>1995</v>
      </c>
      <c r="C742" s="70">
        <v>328707652</v>
      </c>
      <c r="D742" s="70">
        <v>331575221</v>
      </c>
      <c r="E742" s="70">
        <v>423068962</v>
      </c>
      <c r="F742" s="70">
        <v>0</v>
      </c>
      <c r="G742" s="71">
        <f t="shared" si="34"/>
        <v>1083351835</v>
      </c>
      <c r="H742" s="60">
        <v>0</v>
      </c>
      <c r="I742" s="72"/>
    </row>
    <row r="743" spans="1:9">
      <c r="A743" s="68" t="s">
        <v>28</v>
      </c>
      <c r="B743" s="69">
        <v>1996</v>
      </c>
      <c r="C743" s="70">
        <v>339210804</v>
      </c>
      <c r="D743" s="70">
        <v>329511360</v>
      </c>
      <c r="E743" s="70">
        <v>455923916</v>
      </c>
      <c r="F743" s="70">
        <v>0</v>
      </c>
      <c r="G743" s="71">
        <f t="shared" si="34"/>
        <v>1124646080</v>
      </c>
      <c r="H743" s="60">
        <v>0</v>
      </c>
      <c r="I743" s="72"/>
    </row>
    <row r="744" spans="1:9">
      <c r="A744" s="68" t="s">
        <v>28</v>
      </c>
      <c r="B744" s="69">
        <v>1997</v>
      </c>
      <c r="C744" s="70">
        <v>364319447</v>
      </c>
      <c r="D744" s="70">
        <v>347039518</v>
      </c>
      <c r="E744" s="70">
        <v>477837146</v>
      </c>
      <c r="F744" s="70">
        <v>0</v>
      </c>
      <c r="G744" s="71">
        <f t="shared" si="34"/>
        <v>1189196111</v>
      </c>
      <c r="H744" s="60">
        <v>0</v>
      </c>
      <c r="I744" s="72"/>
    </row>
    <row r="745" spans="1:9">
      <c r="A745" s="68" t="s">
        <v>28</v>
      </c>
      <c r="B745" s="69">
        <v>1998</v>
      </c>
      <c r="C745" s="70">
        <v>383955521</v>
      </c>
      <c r="D745" s="70">
        <v>303351906</v>
      </c>
      <c r="E745" s="70">
        <v>501685748</v>
      </c>
      <c r="F745" s="70">
        <v>0</v>
      </c>
      <c r="G745" s="71">
        <f t="shared" si="34"/>
        <v>1188993175</v>
      </c>
      <c r="H745" s="60">
        <v>0</v>
      </c>
      <c r="I745" s="72"/>
    </row>
    <row r="746" spans="1:9">
      <c r="A746" s="68" t="s">
        <v>28</v>
      </c>
      <c r="B746" s="69">
        <v>1999</v>
      </c>
      <c r="C746" s="70">
        <v>393472325</v>
      </c>
      <c r="D746" s="70">
        <v>397510883</v>
      </c>
      <c r="E746" s="70">
        <v>577477196</v>
      </c>
      <c r="F746" s="70">
        <v>0</v>
      </c>
      <c r="G746" s="71">
        <f t="shared" si="34"/>
        <v>1368460404</v>
      </c>
      <c r="H746" s="60">
        <v>0</v>
      </c>
      <c r="I746" s="72"/>
    </row>
    <row r="747" spans="1:9">
      <c r="A747" s="68" t="s">
        <v>28</v>
      </c>
      <c r="B747" s="69">
        <v>2000</v>
      </c>
      <c r="C747" s="70">
        <v>457675253</v>
      </c>
      <c r="D747" s="70">
        <v>589727264</v>
      </c>
      <c r="E747" s="70">
        <v>630109657</v>
      </c>
      <c r="F747" s="70">
        <v>0</v>
      </c>
      <c r="G747" s="71">
        <f t="shared" si="34"/>
        <v>1677512174</v>
      </c>
      <c r="H747" s="60">
        <v>0</v>
      </c>
      <c r="I747" s="72"/>
    </row>
    <row r="748" spans="1:9">
      <c r="A748" s="68" t="s">
        <v>28</v>
      </c>
      <c r="B748" s="69">
        <v>2001</v>
      </c>
      <c r="C748" s="70">
        <v>439636288</v>
      </c>
      <c r="D748" s="70">
        <v>661926690</v>
      </c>
      <c r="E748" s="70">
        <v>674107946</v>
      </c>
      <c r="F748" s="70">
        <v>0</v>
      </c>
      <c r="G748" s="71">
        <f t="shared" si="34"/>
        <v>1775670924</v>
      </c>
      <c r="H748" s="60">
        <v>0</v>
      </c>
      <c r="I748" s="72"/>
    </row>
    <row r="749" spans="1:9">
      <c r="A749" s="68" t="s">
        <v>28</v>
      </c>
      <c r="B749" s="69">
        <v>2002</v>
      </c>
      <c r="C749" s="70">
        <v>500708457</v>
      </c>
      <c r="D749" s="70">
        <v>1287227807</v>
      </c>
      <c r="E749" s="70">
        <v>657280614</v>
      </c>
      <c r="F749" s="70">
        <v>0</v>
      </c>
      <c r="G749" s="71">
        <f t="shared" si="34"/>
        <v>2445216878</v>
      </c>
      <c r="H749" s="60">
        <v>0</v>
      </c>
      <c r="I749" s="72"/>
    </row>
    <row r="750" spans="1:9">
      <c r="A750" s="68" t="s">
        <v>28</v>
      </c>
      <c r="B750" s="69">
        <v>2003</v>
      </c>
      <c r="C750" s="73">
        <v>560244756</v>
      </c>
      <c r="D750" s="73">
        <v>1002487503</v>
      </c>
      <c r="E750" s="73">
        <v>715662888</v>
      </c>
      <c r="F750" s="70">
        <v>0</v>
      </c>
      <c r="G750" s="71">
        <f t="shared" si="34"/>
        <v>2278395147</v>
      </c>
      <c r="H750" s="60">
        <v>0</v>
      </c>
      <c r="I750" s="72"/>
    </row>
    <row r="751" spans="1:9">
      <c r="A751" s="68" t="s">
        <v>28</v>
      </c>
      <c r="B751" s="69">
        <v>2004</v>
      </c>
      <c r="C751" s="73">
        <v>621862008</v>
      </c>
      <c r="D751" s="73">
        <v>783868243</v>
      </c>
      <c r="E751" s="73">
        <v>775448499</v>
      </c>
      <c r="F751" s="70">
        <v>0</v>
      </c>
      <c r="G751" s="71">
        <f t="shared" si="34"/>
        <v>2181178750</v>
      </c>
      <c r="H751" s="60">
        <v>0</v>
      </c>
      <c r="I751" s="72"/>
    </row>
    <row r="752" spans="1:9">
      <c r="A752" s="68" t="s">
        <v>28</v>
      </c>
      <c r="B752" s="69">
        <v>2005</v>
      </c>
      <c r="C752" s="73">
        <v>616220934</v>
      </c>
      <c r="D752" s="73">
        <v>766485503</v>
      </c>
      <c r="E752" s="73">
        <v>823325958.17999995</v>
      </c>
      <c r="F752" s="70">
        <v>0</v>
      </c>
      <c r="G752" s="71">
        <f t="shared" si="34"/>
        <v>2206032395.1799998</v>
      </c>
      <c r="H752" s="60">
        <v>0</v>
      </c>
      <c r="I752" s="72"/>
    </row>
    <row r="753" spans="1:9">
      <c r="A753" s="68" t="s">
        <v>28</v>
      </c>
      <c r="B753" s="69">
        <v>2006</v>
      </c>
      <c r="C753" s="74">
        <v>692636351</v>
      </c>
      <c r="D753" s="74">
        <v>702024818</v>
      </c>
      <c r="E753" s="74">
        <v>912982468</v>
      </c>
      <c r="F753" s="74">
        <v>0</v>
      </c>
      <c r="G753" s="71">
        <f t="shared" si="34"/>
        <v>2307643637</v>
      </c>
      <c r="H753" s="60">
        <v>0</v>
      </c>
      <c r="I753" s="72"/>
    </row>
    <row r="754" spans="1:9">
      <c r="A754" s="68" t="s">
        <v>28</v>
      </c>
      <c r="B754" s="69">
        <v>2007</v>
      </c>
      <c r="C754" s="74">
        <v>712200556</v>
      </c>
      <c r="D754" s="74">
        <v>824604506</v>
      </c>
      <c r="E754" s="74">
        <v>1322286110</v>
      </c>
      <c r="F754" s="74">
        <v>0</v>
      </c>
      <c r="G754" s="71">
        <f t="shared" si="34"/>
        <v>2859091172</v>
      </c>
      <c r="H754" s="60">
        <v>0</v>
      </c>
      <c r="I754" s="72"/>
    </row>
    <row r="755" spans="1:9">
      <c r="A755" s="68" t="s">
        <v>28</v>
      </c>
      <c r="B755" s="69">
        <v>2008</v>
      </c>
      <c r="C755" s="74">
        <v>739912500</v>
      </c>
      <c r="D755" s="74">
        <v>1096212102</v>
      </c>
      <c r="E755" s="74">
        <v>1498313802</v>
      </c>
      <c r="F755" s="74">
        <v>0</v>
      </c>
      <c r="G755" s="71">
        <f t="shared" si="34"/>
        <v>3334438404</v>
      </c>
      <c r="H755" s="60">
        <v>0</v>
      </c>
      <c r="I755" s="72"/>
    </row>
    <row r="756" spans="1:9">
      <c r="A756" s="68" t="s">
        <v>28</v>
      </c>
      <c r="B756" s="69">
        <v>2009</v>
      </c>
      <c r="C756" s="74">
        <v>769949241</v>
      </c>
      <c r="D756" s="74">
        <v>1071481528</v>
      </c>
      <c r="E756" s="74">
        <v>1653824373</v>
      </c>
      <c r="F756" s="74">
        <v>0</v>
      </c>
      <c r="G756" s="71">
        <f t="shared" si="34"/>
        <v>3495255142</v>
      </c>
      <c r="H756" s="60">
        <v>0</v>
      </c>
      <c r="I756" s="72"/>
    </row>
    <row r="757" spans="1:9">
      <c r="A757" s="68" t="s">
        <v>28</v>
      </c>
      <c r="B757" s="69">
        <v>2010</v>
      </c>
      <c r="C757" s="74">
        <v>748015631</v>
      </c>
      <c r="D757" s="74">
        <v>1008581875</v>
      </c>
      <c r="E757" s="74">
        <v>1620890080</v>
      </c>
      <c r="F757" s="74">
        <v>0</v>
      </c>
      <c r="G757" s="71">
        <f t="shared" si="34"/>
        <v>3377487586</v>
      </c>
      <c r="H757" s="60">
        <v>0</v>
      </c>
      <c r="I757" s="72"/>
    </row>
    <row r="758" spans="1:9">
      <c r="A758" s="68" t="s">
        <v>28</v>
      </c>
      <c r="B758" s="69">
        <v>2011</v>
      </c>
      <c r="C758" s="74">
        <v>790601447</v>
      </c>
      <c r="D758" s="74">
        <v>803896979</v>
      </c>
      <c r="E758" s="74">
        <v>1705079369</v>
      </c>
      <c r="F758" s="74">
        <v>0</v>
      </c>
      <c r="G758" s="71">
        <f t="shared" si="34"/>
        <v>3299577795</v>
      </c>
      <c r="H758" s="60">
        <v>0</v>
      </c>
      <c r="I758" s="72"/>
    </row>
    <row r="759" spans="1:9">
      <c r="A759" s="68" t="s">
        <v>28</v>
      </c>
      <c r="B759" s="69">
        <v>2012</v>
      </c>
      <c r="C759" s="74">
        <v>825350559</v>
      </c>
      <c r="D759" s="74">
        <v>945278895</v>
      </c>
      <c r="E759" s="74">
        <v>1788245669</v>
      </c>
      <c r="F759" s="74">
        <v>0</v>
      </c>
      <c r="G759" s="71">
        <f t="shared" si="34"/>
        <v>3558875123</v>
      </c>
      <c r="H759" s="60">
        <v>0</v>
      </c>
      <c r="I759" s="72"/>
    </row>
    <row r="760" spans="1:9">
      <c r="A760" s="68"/>
      <c r="C760" s="70"/>
      <c r="D760" s="70"/>
      <c r="E760" s="70"/>
      <c r="F760" s="70"/>
      <c r="G760" s="76"/>
      <c r="I760" s="72"/>
    </row>
    <row r="761" spans="1:9">
      <c r="A761" s="68" t="s">
        <v>29</v>
      </c>
      <c r="B761" s="69">
        <v>1988</v>
      </c>
      <c r="C761" s="70">
        <v>252803488</v>
      </c>
      <c r="D761" s="70">
        <v>119901061</v>
      </c>
      <c r="E761" s="70">
        <v>203345399</v>
      </c>
      <c r="F761" s="70">
        <v>87655124</v>
      </c>
      <c r="G761" s="71">
        <f>SUM(C761:F761)</f>
        <v>663705072</v>
      </c>
      <c r="H761" s="60">
        <v>0</v>
      </c>
      <c r="I761" s="72"/>
    </row>
    <row r="762" spans="1:9">
      <c r="A762" s="68" t="s">
        <v>29</v>
      </c>
      <c r="B762" s="69">
        <v>1989</v>
      </c>
      <c r="C762" s="70">
        <v>234946765</v>
      </c>
      <c r="D762" s="70">
        <v>217312983</v>
      </c>
      <c r="E762" s="70">
        <v>235348015</v>
      </c>
      <c r="F762" s="70">
        <v>75157619</v>
      </c>
      <c r="G762" s="71">
        <f t="shared" ref="G762:G785" si="35">SUM(C762:F762)</f>
        <v>762765382</v>
      </c>
      <c r="H762" s="60">
        <v>0</v>
      </c>
      <c r="I762" s="72"/>
    </row>
    <row r="763" spans="1:9">
      <c r="A763" s="68" t="s">
        <v>29</v>
      </c>
      <c r="B763" s="69">
        <v>1990</v>
      </c>
      <c r="C763" s="70">
        <v>241536221</v>
      </c>
      <c r="D763" s="70">
        <v>259760502.19999999</v>
      </c>
      <c r="E763" s="70">
        <v>240900345</v>
      </c>
      <c r="F763" s="70">
        <v>92438242</v>
      </c>
      <c r="G763" s="71">
        <f t="shared" si="35"/>
        <v>834635310.20000005</v>
      </c>
      <c r="H763" s="60">
        <v>0</v>
      </c>
      <c r="I763" s="72"/>
    </row>
    <row r="764" spans="1:9">
      <c r="A764" s="68" t="s">
        <v>29</v>
      </c>
      <c r="B764" s="69">
        <v>1991</v>
      </c>
      <c r="C764" s="70">
        <v>260141719</v>
      </c>
      <c r="D764" s="70">
        <v>205080765</v>
      </c>
      <c r="E764" s="70">
        <v>241177952</v>
      </c>
      <c r="F764" s="70">
        <v>82311078</v>
      </c>
      <c r="G764" s="71">
        <f t="shared" si="35"/>
        <v>788711514</v>
      </c>
      <c r="H764" s="60">
        <v>0</v>
      </c>
      <c r="I764" s="72"/>
    </row>
    <row r="765" spans="1:9">
      <c r="A765" s="68" t="s">
        <v>29</v>
      </c>
      <c r="B765" s="69">
        <v>1992</v>
      </c>
      <c r="C765" s="70">
        <v>285808181</v>
      </c>
      <c r="D765" s="70">
        <v>265144968.36000001</v>
      </c>
      <c r="E765" s="70">
        <v>253737165</v>
      </c>
      <c r="F765" s="70">
        <v>41944650</v>
      </c>
      <c r="G765" s="71">
        <f t="shared" si="35"/>
        <v>846634964.36000001</v>
      </c>
      <c r="H765" s="60">
        <v>0</v>
      </c>
      <c r="I765" s="72"/>
    </row>
    <row r="766" spans="1:9">
      <c r="A766" s="68" t="s">
        <v>29</v>
      </c>
      <c r="B766" s="69">
        <v>1993</v>
      </c>
      <c r="C766" s="70">
        <v>279493617</v>
      </c>
      <c r="D766" s="70">
        <v>264027730</v>
      </c>
      <c r="E766" s="70">
        <v>283496014</v>
      </c>
      <c r="F766" s="70">
        <v>74308335</v>
      </c>
      <c r="G766" s="71">
        <f t="shared" si="35"/>
        <v>901325696</v>
      </c>
      <c r="H766" s="60">
        <v>0</v>
      </c>
      <c r="I766" s="72"/>
    </row>
    <row r="767" spans="1:9">
      <c r="A767" s="68" t="s">
        <v>29</v>
      </c>
      <c r="B767" s="69">
        <v>1994</v>
      </c>
      <c r="C767" s="70">
        <v>314086073</v>
      </c>
      <c r="D767" s="70">
        <v>284405162</v>
      </c>
      <c r="E767" s="70">
        <v>286147819</v>
      </c>
      <c r="F767" s="70">
        <v>42554564</v>
      </c>
      <c r="G767" s="71">
        <f t="shared" si="35"/>
        <v>927193618</v>
      </c>
      <c r="H767" s="60">
        <v>0</v>
      </c>
      <c r="I767" s="72"/>
    </row>
    <row r="768" spans="1:9">
      <c r="A768" s="68" t="s">
        <v>29</v>
      </c>
      <c r="B768" s="69">
        <v>1995</v>
      </c>
      <c r="C768" s="70">
        <v>332373812</v>
      </c>
      <c r="D768" s="70">
        <v>272400511</v>
      </c>
      <c r="E768" s="70">
        <v>298025547</v>
      </c>
      <c r="F768" s="70">
        <v>28369697</v>
      </c>
      <c r="G768" s="71">
        <f t="shared" si="35"/>
        <v>931169567</v>
      </c>
      <c r="H768" s="60">
        <v>0</v>
      </c>
      <c r="I768" s="72"/>
    </row>
    <row r="769" spans="1:9">
      <c r="A769" s="68" t="s">
        <v>29</v>
      </c>
      <c r="B769" s="69">
        <v>1996</v>
      </c>
      <c r="C769" s="70">
        <v>356329729</v>
      </c>
      <c r="D769" s="70">
        <v>202957008</v>
      </c>
      <c r="E769" s="70">
        <v>306213178</v>
      </c>
      <c r="F769" s="70">
        <v>38576938</v>
      </c>
      <c r="G769" s="71">
        <f t="shared" si="35"/>
        <v>904076853</v>
      </c>
      <c r="H769" s="60">
        <v>0</v>
      </c>
      <c r="I769" s="72"/>
    </row>
    <row r="770" spans="1:9">
      <c r="A770" s="68" t="s">
        <v>29</v>
      </c>
      <c r="B770" s="69">
        <v>1997</v>
      </c>
      <c r="C770" s="70">
        <v>327085853</v>
      </c>
      <c r="D770" s="70">
        <v>269116727</v>
      </c>
      <c r="E770" s="70">
        <v>295343014</v>
      </c>
      <c r="F770" s="70">
        <v>66111619</v>
      </c>
      <c r="G770" s="71">
        <f t="shared" si="35"/>
        <v>957657213</v>
      </c>
      <c r="H770" s="60">
        <v>0</v>
      </c>
      <c r="I770" s="72"/>
    </row>
    <row r="771" spans="1:9">
      <c r="A771" s="68" t="s">
        <v>29</v>
      </c>
      <c r="B771" s="69">
        <v>1998</v>
      </c>
      <c r="C771" s="70">
        <v>379340368</v>
      </c>
      <c r="D771" s="70">
        <v>273163517</v>
      </c>
      <c r="E771" s="70">
        <v>296275080</v>
      </c>
      <c r="F771" s="70">
        <v>102922212</v>
      </c>
      <c r="G771" s="71">
        <f t="shared" si="35"/>
        <v>1051701177</v>
      </c>
      <c r="H771" s="60">
        <v>0</v>
      </c>
      <c r="I771" s="72"/>
    </row>
    <row r="772" spans="1:9">
      <c r="A772" s="68" t="s">
        <v>29</v>
      </c>
      <c r="B772" s="69">
        <v>1999</v>
      </c>
      <c r="C772" s="70">
        <v>383399884</v>
      </c>
      <c r="D772" s="70">
        <v>353550676</v>
      </c>
      <c r="E772" s="70">
        <v>311830778</v>
      </c>
      <c r="F772" s="70">
        <v>85811125</v>
      </c>
      <c r="G772" s="71">
        <f t="shared" si="35"/>
        <v>1134592463</v>
      </c>
      <c r="H772" s="60">
        <v>0</v>
      </c>
      <c r="I772" s="72"/>
    </row>
    <row r="773" spans="1:9">
      <c r="A773" s="68" t="s">
        <v>29</v>
      </c>
      <c r="B773" s="69">
        <v>2000</v>
      </c>
      <c r="C773" s="70">
        <v>371612555</v>
      </c>
      <c r="D773" s="70">
        <v>356810727</v>
      </c>
      <c r="E773" s="70">
        <v>327324467</v>
      </c>
      <c r="F773" s="70">
        <v>49837913</v>
      </c>
      <c r="G773" s="71">
        <f t="shared" si="35"/>
        <v>1105585662</v>
      </c>
      <c r="H773" s="60">
        <v>0</v>
      </c>
      <c r="I773" s="72"/>
    </row>
    <row r="774" spans="1:9">
      <c r="A774" s="68" t="s">
        <v>29</v>
      </c>
      <c r="B774" s="69">
        <v>2001</v>
      </c>
      <c r="C774" s="70">
        <v>363577918</v>
      </c>
      <c r="D774" s="70">
        <v>493492136</v>
      </c>
      <c r="E774" s="70">
        <v>327779405</v>
      </c>
      <c r="F774" s="70">
        <v>39427603</v>
      </c>
      <c r="G774" s="71">
        <f t="shared" si="35"/>
        <v>1224277062</v>
      </c>
      <c r="H774" s="60">
        <v>0</v>
      </c>
      <c r="I774" s="72"/>
    </row>
    <row r="775" spans="1:9">
      <c r="A775" s="68" t="s">
        <v>29</v>
      </c>
      <c r="B775" s="69">
        <v>2002</v>
      </c>
      <c r="C775" s="70">
        <v>346960375</v>
      </c>
      <c r="D775" s="70">
        <v>774499331</v>
      </c>
      <c r="E775" s="70">
        <v>339227506</v>
      </c>
      <c r="F775" s="70">
        <v>110238020</v>
      </c>
      <c r="G775" s="71">
        <f t="shared" si="35"/>
        <v>1570925232</v>
      </c>
      <c r="H775" s="60">
        <v>0</v>
      </c>
      <c r="I775" s="72"/>
    </row>
    <row r="776" spans="1:9">
      <c r="A776" s="68" t="s">
        <v>29</v>
      </c>
      <c r="B776" s="69">
        <v>2003</v>
      </c>
      <c r="C776" s="73">
        <v>383633208</v>
      </c>
      <c r="D776" s="73">
        <v>686958663</v>
      </c>
      <c r="E776" s="73">
        <v>358910278</v>
      </c>
      <c r="F776" s="73">
        <v>74796393</v>
      </c>
      <c r="G776" s="71">
        <f t="shared" si="35"/>
        <v>1504298542</v>
      </c>
      <c r="H776" s="60">
        <v>0</v>
      </c>
    </row>
    <row r="777" spans="1:9">
      <c r="A777" s="68" t="s">
        <v>29</v>
      </c>
      <c r="B777" s="69">
        <v>2004</v>
      </c>
      <c r="C777" s="73">
        <v>381166967</v>
      </c>
      <c r="D777" s="73">
        <v>641007904</v>
      </c>
      <c r="E777" s="73">
        <v>394769423</v>
      </c>
      <c r="F777" s="73">
        <v>91170299</v>
      </c>
      <c r="G777" s="71">
        <f t="shared" si="35"/>
        <v>1508114593</v>
      </c>
      <c r="H777" s="60">
        <v>0</v>
      </c>
    </row>
    <row r="778" spans="1:9">
      <c r="A778" s="68" t="s">
        <v>29</v>
      </c>
      <c r="B778" s="69">
        <v>2005</v>
      </c>
      <c r="C778" s="73">
        <v>412156500</v>
      </c>
      <c r="D778" s="73">
        <v>593862991</v>
      </c>
      <c r="E778" s="73">
        <v>428512325.73000002</v>
      </c>
      <c r="F778" s="73">
        <v>129230456</v>
      </c>
      <c r="G778" s="71">
        <f t="shared" si="35"/>
        <v>1563762272.73</v>
      </c>
      <c r="H778" s="60">
        <v>0</v>
      </c>
    </row>
    <row r="779" spans="1:9">
      <c r="A779" s="68" t="s">
        <v>29</v>
      </c>
      <c r="B779" s="69">
        <v>2006</v>
      </c>
      <c r="C779" s="74">
        <v>444502774</v>
      </c>
      <c r="D779" s="74">
        <v>558130092</v>
      </c>
      <c r="E779" s="74">
        <v>496838075</v>
      </c>
      <c r="F779" s="74">
        <v>168348202</v>
      </c>
      <c r="G779" s="71">
        <f t="shared" si="35"/>
        <v>1667819143</v>
      </c>
      <c r="H779" s="60">
        <v>0</v>
      </c>
    </row>
    <row r="780" spans="1:9">
      <c r="A780" s="68" t="s">
        <v>29</v>
      </c>
      <c r="B780" s="69">
        <v>2007</v>
      </c>
      <c r="C780" s="74">
        <v>477497084</v>
      </c>
      <c r="D780" s="74">
        <v>559526907</v>
      </c>
      <c r="E780" s="74">
        <v>868271880</v>
      </c>
      <c r="F780" s="74">
        <v>80082857</v>
      </c>
      <c r="G780" s="71">
        <f t="shared" si="35"/>
        <v>1985378728</v>
      </c>
      <c r="H780" s="60">
        <v>0</v>
      </c>
    </row>
    <row r="781" spans="1:9">
      <c r="A781" s="68" t="s">
        <v>29</v>
      </c>
      <c r="B781" s="69">
        <v>2008</v>
      </c>
      <c r="C781" s="74">
        <v>471342822</v>
      </c>
      <c r="D781" s="74">
        <v>795665312</v>
      </c>
      <c r="E781" s="74">
        <v>1037783684</v>
      </c>
      <c r="F781" s="74">
        <v>261653876</v>
      </c>
      <c r="G781" s="71">
        <f t="shared" si="35"/>
        <v>2566445694</v>
      </c>
      <c r="H781" s="60">
        <v>0</v>
      </c>
    </row>
    <row r="782" spans="1:9">
      <c r="A782" s="68" t="s">
        <v>29</v>
      </c>
      <c r="B782" s="69">
        <v>2009</v>
      </c>
      <c r="C782" s="74">
        <v>501259480</v>
      </c>
      <c r="D782" s="74">
        <v>828000435</v>
      </c>
      <c r="E782" s="74">
        <v>1097122149</v>
      </c>
      <c r="F782" s="74">
        <v>282328023</v>
      </c>
      <c r="G782" s="71">
        <f t="shared" si="35"/>
        <v>2708710087</v>
      </c>
      <c r="H782" s="60">
        <v>0</v>
      </c>
    </row>
    <row r="783" spans="1:9">
      <c r="A783" s="68" t="s">
        <v>29</v>
      </c>
      <c r="B783" s="69">
        <v>2010</v>
      </c>
      <c r="C783" s="74">
        <v>513799242</v>
      </c>
      <c r="D783" s="74">
        <v>763154173</v>
      </c>
      <c r="E783" s="74">
        <v>1173877203</v>
      </c>
      <c r="F783" s="74">
        <v>494814110</v>
      </c>
      <c r="G783" s="71">
        <f t="shared" si="35"/>
        <v>2945644728</v>
      </c>
      <c r="H783" s="60">
        <v>0</v>
      </c>
    </row>
    <row r="784" spans="1:9">
      <c r="A784" s="68" t="s">
        <v>29</v>
      </c>
      <c r="B784" s="69">
        <v>2011</v>
      </c>
      <c r="C784" s="74">
        <v>522619402</v>
      </c>
      <c r="D784" s="74">
        <v>606420884</v>
      </c>
      <c r="E784" s="74">
        <v>1356175416.9400001</v>
      </c>
      <c r="F784" s="74">
        <v>482548453</v>
      </c>
      <c r="G784" s="71">
        <f t="shared" si="35"/>
        <v>2967764155.9400001</v>
      </c>
      <c r="H784" s="60">
        <v>0</v>
      </c>
    </row>
    <row r="785" spans="1:9">
      <c r="A785" s="68" t="s">
        <v>29</v>
      </c>
      <c r="B785" s="69">
        <v>2012</v>
      </c>
      <c r="C785" s="74">
        <v>593175594</v>
      </c>
      <c r="D785" s="74">
        <v>849596896</v>
      </c>
      <c r="E785" s="74">
        <v>1086540751</v>
      </c>
      <c r="F785" s="74">
        <v>167588601</v>
      </c>
      <c r="G785" s="71">
        <f t="shared" si="35"/>
        <v>2696901842</v>
      </c>
      <c r="H785" s="60">
        <v>0</v>
      </c>
    </row>
    <row r="786" spans="1:9">
      <c r="A786" s="68"/>
      <c r="C786" s="70"/>
      <c r="D786" s="70"/>
      <c r="E786" s="70"/>
      <c r="F786" s="70"/>
      <c r="G786" s="76"/>
      <c r="I786" s="72"/>
    </row>
    <row r="787" spans="1:9">
      <c r="A787" s="68" t="s">
        <v>30</v>
      </c>
      <c r="B787" s="69">
        <v>1988</v>
      </c>
      <c r="C787" s="70">
        <v>2073109199</v>
      </c>
      <c r="D787" s="70">
        <v>1731834873</v>
      </c>
      <c r="E787" s="70">
        <v>4227426164</v>
      </c>
      <c r="F787" s="70">
        <v>1108412108</v>
      </c>
      <c r="G787" s="71">
        <f>SUM(C787:F787)</f>
        <v>9140782344</v>
      </c>
      <c r="H787" s="60">
        <v>0</v>
      </c>
      <c r="I787" s="72"/>
    </row>
    <row r="788" spans="1:9">
      <c r="A788" s="68" t="s">
        <v>30</v>
      </c>
      <c r="B788" s="69">
        <v>1989</v>
      </c>
      <c r="C788" s="70">
        <v>2183764728</v>
      </c>
      <c r="D788" s="70">
        <v>1974007514</v>
      </c>
      <c r="E788" s="70">
        <v>4745054555</v>
      </c>
      <c r="F788" s="70">
        <v>969808889</v>
      </c>
      <c r="G788" s="71">
        <f t="shared" ref="G788:G811" si="36">SUM(C788:F788)</f>
        <v>9872635686</v>
      </c>
      <c r="H788" s="60">
        <v>0</v>
      </c>
      <c r="I788" s="72"/>
    </row>
    <row r="789" spans="1:9">
      <c r="A789" s="68" t="s">
        <v>30</v>
      </c>
      <c r="B789" s="69">
        <v>1990</v>
      </c>
      <c r="C789" s="70">
        <v>2364265442</v>
      </c>
      <c r="D789" s="70">
        <v>2550437378.9200001</v>
      </c>
      <c r="E789" s="70">
        <v>4888106724</v>
      </c>
      <c r="F789" s="70">
        <v>1133655124</v>
      </c>
      <c r="G789" s="71">
        <f t="shared" si="36"/>
        <v>10936464668.92</v>
      </c>
      <c r="H789" s="60">
        <v>0</v>
      </c>
      <c r="I789" s="72"/>
    </row>
    <row r="790" spans="1:9">
      <c r="A790" s="68" t="s">
        <v>30</v>
      </c>
      <c r="B790" s="69">
        <v>1991</v>
      </c>
      <c r="C790" s="70">
        <v>2444151278</v>
      </c>
      <c r="D790" s="70">
        <v>2481827275</v>
      </c>
      <c r="E790" s="70">
        <v>4397986945</v>
      </c>
      <c r="F790" s="70">
        <v>877253188</v>
      </c>
      <c r="G790" s="71">
        <f t="shared" si="36"/>
        <v>10201218686</v>
      </c>
      <c r="H790" s="60">
        <v>0</v>
      </c>
      <c r="I790" s="72"/>
    </row>
    <row r="791" spans="1:9">
      <c r="A791" s="68" t="s">
        <v>30</v>
      </c>
      <c r="B791" s="69">
        <v>1992</v>
      </c>
      <c r="C791" s="70">
        <v>2689828543</v>
      </c>
      <c r="D791" s="70">
        <v>2929192389.8000002</v>
      </c>
      <c r="E791" s="70">
        <v>4327663715</v>
      </c>
      <c r="F791" s="70">
        <v>575311765</v>
      </c>
      <c r="G791" s="71">
        <f t="shared" si="36"/>
        <v>10521996412.799999</v>
      </c>
      <c r="H791" s="60">
        <v>0</v>
      </c>
      <c r="I791" s="72"/>
    </row>
    <row r="792" spans="1:9">
      <c r="A792" s="68" t="s">
        <v>30</v>
      </c>
      <c r="B792" s="69">
        <v>1993</v>
      </c>
      <c r="C792" s="70">
        <v>2996718589</v>
      </c>
      <c r="D792" s="70">
        <v>2532350985</v>
      </c>
      <c r="E792" s="70">
        <v>4245833860</v>
      </c>
      <c r="F792" s="70">
        <v>593521279</v>
      </c>
      <c r="G792" s="71">
        <f t="shared" si="36"/>
        <v>10368424713</v>
      </c>
      <c r="H792" s="60">
        <v>0</v>
      </c>
      <c r="I792" s="72"/>
    </row>
    <row r="793" spans="1:9">
      <c r="A793" s="68" t="s">
        <v>30</v>
      </c>
      <c r="B793" s="69">
        <v>1994</v>
      </c>
      <c r="C793" s="70">
        <v>3231932887</v>
      </c>
      <c r="D793" s="70">
        <v>2957910836</v>
      </c>
      <c r="E793" s="70">
        <v>4269926095</v>
      </c>
      <c r="F793" s="70">
        <v>639234053</v>
      </c>
      <c r="G793" s="71">
        <f t="shared" si="36"/>
        <v>11099003871</v>
      </c>
      <c r="H793" s="60">
        <v>0</v>
      </c>
      <c r="I793" s="72"/>
    </row>
    <row r="794" spans="1:9">
      <c r="A794" s="68" t="s">
        <v>30</v>
      </c>
      <c r="B794" s="69">
        <v>1995</v>
      </c>
      <c r="C794" s="70">
        <v>3175155312</v>
      </c>
      <c r="D794" s="70">
        <v>2682124713</v>
      </c>
      <c r="E794" s="70">
        <v>4157029058</v>
      </c>
      <c r="F794" s="70">
        <v>491233902</v>
      </c>
      <c r="G794" s="71">
        <f t="shared" si="36"/>
        <v>10505542985</v>
      </c>
      <c r="H794" s="60">
        <v>0</v>
      </c>
      <c r="I794" s="72"/>
    </row>
    <row r="795" spans="1:9">
      <c r="A795" s="68" t="s">
        <v>30</v>
      </c>
      <c r="B795" s="69">
        <v>1996</v>
      </c>
      <c r="C795" s="70">
        <v>2999224711</v>
      </c>
      <c r="D795" s="70">
        <v>2302871125</v>
      </c>
      <c r="E795" s="70">
        <v>4252812116</v>
      </c>
      <c r="F795" s="70">
        <v>640455344</v>
      </c>
      <c r="G795" s="71">
        <f t="shared" si="36"/>
        <v>10195363296</v>
      </c>
      <c r="H795" s="60">
        <v>0</v>
      </c>
      <c r="I795" s="72"/>
    </row>
    <row r="796" spans="1:9">
      <c r="A796" s="68" t="s">
        <v>30</v>
      </c>
      <c r="B796" s="69">
        <v>1997</v>
      </c>
      <c r="C796" s="70">
        <v>3196860901</v>
      </c>
      <c r="D796" s="70">
        <v>2545256440</v>
      </c>
      <c r="E796" s="70">
        <v>4294005693</v>
      </c>
      <c r="F796" s="70">
        <v>479246708</v>
      </c>
      <c r="G796" s="71">
        <f t="shared" si="36"/>
        <v>10515369742</v>
      </c>
      <c r="H796" s="60">
        <v>0</v>
      </c>
      <c r="I796" s="72"/>
    </row>
    <row r="797" spans="1:9">
      <c r="A797" s="68" t="s">
        <v>30</v>
      </c>
      <c r="B797" s="69">
        <v>1998</v>
      </c>
      <c r="C797" s="70">
        <v>3594018956</v>
      </c>
      <c r="D797" s="70">
        <v>2346820388</v>
      </c>
      <c r="E797" s="70">
        <v>4391742488</v>
      </c>
      <c r="F797" s="70">
        <v>303854623</v>
      </c>
      <c r="G797" s="71">
        <f t="shared" si="36"/>
        <v>10636436455</v>
      </c>
      <c r="H797" s="60">
        <v>0</v>
      </c>
      <c r="I797" s="72"/>
    </row>
    <row r="798" spans="1:9">
      <c r="A798" s="68" t="s">
        <v>30</v>
      </c>
      <c r="B798" s="69">
        <v>1999</v>
      </c>
      <c r="C798" s="70">
        <v>3131582842</v>
      </c>
      <c r="D798" s="70">
        <v>2744233755</v>
      </c>
      <c r="E798" s="70">
        <v>4524544981</v>
      </c>
      <c r="F798" s="70">
        <v>643538393</v>
      </c>
      <c r="G798" s="71">
        <f t="shared" si="36"/>
        <v>11043899971</v>
      </c>
      <c r="H798" s="60">
        <v>0</v>
      </c>
      <c r="I798" s="72"/>
    </row>
    <row r="799" spans="1:9">
      <c r="A799" s="68" t="s">
        <v>30</v>
      </c>
      <c r="B799" s="69">
        <v>2000</v>
      </c>
      <c r="C799" s="70">
        <v>3336450761</v>
      </c>
      <c r="D799" s="70">
        <v>3602748260</v>
      </c>
      <c r="E799" s="70">
        <v>4697743590</v>
      </c>
      <c r="F799" s="70">
        <v>667276739</v>
      </c>
      <c r="G799" s="71">
        <f t="shared" si="36"/>
        <v>12304219350</v>
      </c>
      <c r="H799" s="60">
        <v>0</v>
      </c>
      <c r="I799" s="72"/>
    </row>
    <row r="800" spans="1:9">
      <c r="A800" s="68" t="s">
        <v>30</v>
      </c>
      <c r="B800" s="69">
        <v>2001</v>
      </c>
      <c r="C800" s="70">
        <v>3254615957</v>
      </c>
      <c r="D800" s="70">
        <v>5163369591</v>
      </c>
      <c r="E800" s="70">
        <v>5059968369</v>
      </c>
      <c r="F800" s="70">
        <v>470562350</v>
      </c>
      <c r="G800" s="71">
        <f t="shared" si="36"/>
        <v>13948516267</v>
      </c>
      <c r="H800" s="60">
        <v>0</v>
      </c>
      <c r="I800" s="72"/>
    </row>
    <row r="801" spans="1:9">
      <c r="A801" s="68" t="s">
        <v>30</v>
      </c>
      <c r="B801" s="69">
        <v>2002</v>
      </c>
      <c r="C801" s="70">
        <v>3524610093</v>
      </c>
      <c r="D801" s="70">
        <v>6900012912</v>
      </c>
      <c r="E801" s="70">
        <v>5110299481</v>
      </c>
      <c r="F801" s="70">
        <v>379130839</v>
      </c>
      <c r="G801" s="71">
        <f t="shared" si="36"/>
        <v>15914053325</v>
      </c>
      <c r="H801" s="60">
        <v>0</v>
      </c>
      <c r="I801" s="72"/>
    </row>
    <row r="802" spans="1:9">
      <c r="A802" s="68" t="s">
        <v>30</v>
      </c>
      <c r="B802" s="69">
        <v>2003</v>
      </c>
      <c r="C802" s="73">
        <v>3772083713</v>
      </c>
      <c r="D802" s="73">
        <v>6399872712</v>
      </c>
      <c r="E802" s="73">
        <v>5390004672</v>
      </c>
      <c r="F802" s="73">
        <v>634576551</v>
      </c>
      <c r="G802" s="71">
        <f t="shared" si="36"/>
        <v>16196537648</v>
      </c>
      <c r="H802" s="60">
        <v>0</v>
      </c>
      <c r="I802" s="72"/>
    </row>
    <row r="803" spans="1:9">
      <c r="A803" s="68" t="s">
        <v>30</v>
      </c>
      <c r="B803" s="69">
        <v>2004</v>
      </c>
      <c r="C803" s="73">
        <v>4204052289</v>
      </c>
      <c r="D803" s="73">
        <v>5294540755</v>
      </c>
      <c r="E803" s="73">
        <v>5722735424</v>
      </c>
      <c r="F803" s="73">
        <v>815329692</v>
      </c>
      <c r="G803" s="71">
        <f t="shared" si="36"/>
        <v>16036658160</v>
      </c>
      <c r="H803" s="60">
        <v>0</v>
      </c>
      <c r="I803" s="72"/>
    </row>
    <row r="804" spans="1:9">
      <c r="A804" s="68" t="s">
        <v>30</v>
      </c>
      <c r="B804" s="69">
        <v>2005</v>
      </c>
      <c r="C804" s="73">
        <v>4002026439</v>
      </c>
      <c r="D804" s="73">
        <v>4959483318</v>
      </c>
      <c r="E804" s="73">
        <v>6161664883.3599997</v>
      </c>
      <c r="F804" s="73">
        <v>1319921261</v>
      </c>
      <c r="G804" s="71">
        <f t="shared" si="36"/>
        <v>16443095901.360001</v>
      </c>
      <c r="H804" s="60">
        <v>0</v>
      </c>
      <c r="I804" s="72"/>
    </row>
    <row r="805" spans="1:9">
      <c r="A805" s="68" t="s">
        <v>30</v>
      </c>
      <c r="B805" s="69">
        <v>2006</v>
      </c>
      <c r="C805" s="74">
        <v>4547140561</v>
      </c>
      <c r="D805" s="74">
        <v>5470434982</v>
      </c>
      <c r="E805" s="74">
        <v>7343310219</v>
      </c>
      <c r="F805" s="74">
        <v>1214023392</v>
      </c>
      <c r="G805" s="71">
        <f t="shared" si="36"/>
        <v>18574909154</v>
      </c>
      <c r="H805" s="60">
        <v>0</v>
      </c>
      <c r="I805" s="72"/>
    </row>
    <row r="806" spans="1:9">
      <c r="A806" s="68" t="s">
        <v>30</v>
      </c>
      <c r="B806" s="69">
        <v>2007</v>
      </c>
      <c r="C806" s="74">
        <v>4441444134</v>
      </c>
      <c r="D806" s="74">
        <v>5079390399</v>
      </c>
      <c r="E806" s="74">
        <v>9335690450</v>
      </c>
      <c r="F806" s="74">
        <v>836012711</v>
      </c>
      <c r="G806" s="71">
        <f t="shared" si="36"/>
        <v>19692537694</v>
      </c>
      <c r="H806" s="60">
        <v>0</v>
      </c>
      <c r="I806" s="72"/>
    </row>
    <row r="807" spans="1:9">
      <c r="A807" s="68" t="s">
        <v>30</v>
      </c>
      <c r="B807" s="69">
        <v>2008</v>
      </c>
      <c r="C807" s="74">
        <v>4338367211</v>
      </c>
      <c r="D807" s="74">
        <v>7272418925</v>
      </c>
      <c r="E807" s="74">
        <v>9853696947</v>
      </c>
      <c r="F807" s="74">
        <v>846436484</v>
      </c>
      <c r="G807" s="71">
        <f t="shared" si="36"/>
        <v>22310919567</v>
      </c>
      <c r="H807" s="60">
        <v>0</v>
      </c>
      <c r="I807" s="72"/>
    </row>
    <row r="808" spans="1:9">
      <c r="A808" s="68" t="s">
        <v>30</v>
      </c>
      <c r="B808" s="69">
        <v>2009</v>
      </c>
      <c r="C808" s="74">
        <v>4569693896</v>
      </c>
      <c r="D808" s="74">
        <v>7571069258</v>
      </c>
      <c r="E808" s="74">
        <v>10028229272</v>
      </c>
      <c r="F808" s="74">
        <v>390155994</v>
      </c>
      <c r="G808" s="71">
        <f t="shared" si="36"/>
        <v>22559148420</v>
      </c>
      <c r="H808" s="60">
        <v>0</v>
      </c>
      <c r="I808" s="72"/>
    </row>
    <row r="809" spans="1:9">
      <c r="A809" s="68" t="s">
        <v>30</v>
      </c>
      <c r="B809" s="69">
        <v>2010</v>
      </c>
      <c r="C809" s="74">
        <v>5113558117</v>
      </c>
      <c r="D809" s="74">
        <v>7355793524</v>
      </c>
      <c r="E809" s="74">
        <v>10197728285</v>
      </c>
      <c r="F809" s="74">
        <v>329361195</v>
      </c>
      <c r="G809" s="71">
        <f t="shared" si="36"/>
        <v>22996441121</v>
      </c>
      <c r="H809" s="60">
        <v>0</v>
      </c>
      <c r="I809" s="72"/>
    </row>
    <row r="810" spans="1:9">
      <c r="A810" s="68" t="s">
        <v>30</v>
      </c>
      <c r="B810" s="69">
        <v>2011</v>
      </c>
      <c r="C810" s="74">
        <v>5103001172</v>
      </c>
      <c r="D810" s="74">
        <v>6408280560</v>
      </c>
      <c r="E810" s="74">
        <v>10012552908.869999</v>
      </c>
      <c r="F810" s="74">
        <v>835585846</v>
      </c>
      <c r="G810" s="71">
        <f t="shared" si="36"/>
        <v>22359420486.869999</v>
      </c>
      <c r="H810" s="60">
        <v>0</v>
      </c>
      <c r="I810" s="72"/>
    </row>
    <row r="811" spans="1:9">
      <c r="A811" s="68" t="s">
        <v>30</v>
      </c>
      <c r="B811" s="69">
        <v>2012</v>
      </c>
      <c r="C811" s="74">
        <v>5352968466</v>
      </c>
      <c r="D811" s="74">
        <v>7067272327</v>
      </c>
      <c r="E811" s="74">
        <v>10800997005</v>
      </c>
      <c r="F811" s="74">
        <v>1436345116</v>
      </c>
      <c r="G811" s="71">
        <f t="shared" si="36"/>
        <v>24657582914</v>
      </c>
      <c r="H811" s="60">
        <v>0</v>
      </c>
      <c r="I811" s="72"/>
    </row>
    <row r="812" spans="1:9">
      <c r="A812" s="68"/>
      <c r="C812" s="70"/>
      <c r="D812" s="70"/>
      <c r="E812" s="70"/>
      <c r="F812" s="70"/>
      <c r="G812" s="76"/>
      <c r="I812" s="72"/>
    </row>
    <row r="813" spans="1:9">
      <c r="A813" s="68" t="s">
        <v>31</v>
      </c>
      <c r="B813" s="69">
        <v>1988</v>
      </c>
      <c r="C813" s="70">
        <v>263207485</v>
      </c>
      <c r="D813" s="70">
        <v>499770760</v>
      </c>
      <c r="E813" s="70">
        <v>260588388</v>
      </c>
      <c r="F813" s="70">
        <v>0</v>
      </c>
      <c r="G813" s="71">
        <f>SUM(C813:F813)</f>
        <v>1023566633</v>
      </c>
      <c r="H813" s="60">
        <v>0</v>
      </c>
      <c r="I813" s="72"/>
    </row>
    <row r="814" spans="1:9">
      <c r="A814" s="68" t="s">
        <v>31</v>
      </c>
      <c r="B814" s="69">
        <v>1989</v>
      </c>
      <c r="C814" s="70">
        <v>254044968</v>
      </c>
      <c r="D814" s="70">
        <v>531730200</v>
      </c>
      <c r="E814" s="70">
        <v>288935513</v>
      </c>
      <c r="F814" s="70">
        <v>0</v>
      </c>
      <c r="G814" s="71">
        <f t="shared" ref="G814:G837" si="37">SUM(C814:F814)</f>
        <v>1074710681</v>
      </c>
      <c r="H814" s="60">
        <v>0</v>
      </c>
      <c r="I814" s="72"/>
    </row>
    <row r="815" spans="1:9">
      <c r="A815" s="68" t="s">
        <v>31</v>
      </c>
      <c r="B815" s="69">
        <v>1990</v>
      </c>
      <c r="C815" s="70">
        <v>266559874</v>
      </c>
      <c r="D815" s="70">
        <v>614125627.08000004</v>
      </c>
      <c r="E815" s="70">
        <v>298043034</v>
      </c>
      <c r="F815" s="70">
        <v>0</v>
      </c>
      <c r="G815" s="71">
        <f t="shared" si="37"/>
        <v>1178728535.0799999</v>
      </c>
      <c r="H815" s="60">
        <v>0</v>
      </c>
      <c r="I815" s="72"/>
    </row>
    <row r="816" spans="1:9">
      <c r="A816" s="68" t="s">
        <v>31</v>
      </c>
      <c r="B816" s="69">
        <v>1991</v>
      </c>
      <c r="C816" s="70">
        <v>290120028</v>
      </c>
      <c r="D816" s="70">
        <v>544216464</v>
      </c>
      <c r="E816" s="70">
        <v>313454917</v>
      </c>
      <c r="F816" s="70">
        <v>0</v>
      </c>
      <c r="G816" s="71">
        <f t="shared" si="37"/>
        <v>1147791409</v>
      </c>
      <c r="H816" s="60">
        <v>0</v>
      </c>
      <c r="I816" s="72"/>
    </row>
    <row r="817" spans="1:9">
      <c r="A817" s="68" t="s">
        <v>31</v>
      </c>
      <c r="B817" s="69">
        <v>1992</v>
      </c>
      <c r="C817" s="70">
        <v>307678533</v>
      </c>
      <c r="D817" s="70">
        <v>564487300.03999996</v>
      </c>
      <c r="E817" s="70">
        <v>321008873</v>
      </c>
      <c r="F817" s="70">
        <v>0</v>
      </c>
      <c r="G817" s="71">
        <f t="shared" si="37"/>
        <v>1193174706.04</v>
      </c>
      <c r="H817" s="60">
        <v>0</v>
      </c>
      <c r="I817" s="72"/>
    </row>
    <row r="818" spans="1:9">
      <c r="A818" s="68" t="s">
        <v>31</v>
      </c>
      <c r="B818" s="69">
        <v>1993</v>
      </c>
      <c r="C818" s="70">
        <v>320672161</v>
      </c>
      <c r="D818" s="70">
        <v>645253299</v>
      </c>
      <c r="E818" s="70">
        <v>296303291</v>
      </c>
      <c r="F818" s="70">
        <v>0</v>
      </c>
      <c r="G818" s="71">
        <f t="shared" si="37"/>
        <v>1262228751</v>
      </c>
      <c r="H818" s="60">
        <v>0</v>
      </c>
      <c r="I818" s="72"/>
    </row>
    <row r="819" spans="1:9">
      <c r="A819" s="68" t="s">
        <v>31</v>
      </c>
      <c r="B819" s="69">
        <v>1994</v>
      </c>
      <c r="C819" s="70">
        <v>371393695</v>
      </c>
      <c r="D819" s="70">
        <v>547626406</v>
      </c>
      <c r="E819" s="70">
        <v>307732891</v>
      </c>
      <c r="F819" s="70">
        <v>0</v>
      </c>
      <c r="G819" s="71">
        <f t="shared" si="37"/>
        <v>1226752992</v>
      </c>
      <c r="H819" s="60">
        <v>0</v>
      </c>
      <c r="I819" s="72"/>
    </row>
    <row r="820" spans="1:9">
      <c r="A820" s="68" t="s">
        <v>31</v>
      </c>
      <c r="B820" s="69">
        <v>1995</v>
      </c>
      <c r="C820" s="70">
        <v>370546476</v>
      </c>
      <c r="D820" s="70">
        <v>640618306</v>
      </c>
      <c r="E820" s="70">
        <v>316965441</v>
      </c>
      <c r="F820" s="70">
        <v>0</v>
      </c>
      <c r="G820" s="71">
        <f t="shared" si="37"/>
        <v>1328130223</v>
      </c>
      <c r="H820" s="60">
        <v>0</v>
      </c>
      <c r="I820" s="72"/>
    </row>
    <row r="821" spans="1:9">
      <c r="A821" s="68" t="s">
        <v>31</v>
      </c>
      <c r="B821" s="69">
        <v>1996</v>
      </c>
      <c r="C821" s="70">
        <v>381363681</v>
      </c>
      <c r="D821" s="70">
        <v>444425140</v>
      </c>
      <c r="E821" s="70">
        <v>342582739</v>
      </c>
      <c r="F821" s="70">
        <v>0</v>
      </c>
      <c r="G821" s="71">
        <f t="shared" si="37"/>
        <v>1168371560</v>
      </c>
      <c r="H821" s="60">
        <v>0</v>
      </c>
      <c r="I821" s="72"/>
    </row>
    <row r="822" spans="1:9">
      <c r="A822" s="68" t="s">
        <v>31</v>
      </c>
      <c r="B822" s="69">
        <v>1997</v>
      </c>
      <c r="C822" s="70">
        <v>315623262</v>
      </c>
      <c r="D822" s="70">
        <v>375216289</v>
      </c>
      <c r="E822" s="70">
        <v>325511693</v>
      </c>
      <c r="F822" s="70">
        <v>0</v>
      </c>
      <c r="G822" s="71">
        <f t="shared" si="37"/>
        <v>1016351244</v>
      </c>
      <c r="H822" s="60">
        <v>0</v>
      </c>
      <c r="I822" s="72"/>
    </row>
    <row r="823" spans="1:9">
      <c r="A823" s="68" t="s">
        <v>31</v>
      </c>
      <c r="B823" s="69">
        <v>1998</v>
      </c>
      <c r="C823" s="70">
        <v>372791582</v>
      </c>
      <c r="D823" s="70">
        <v>259460467</v>
      </c>
      <c r="E823" s="70">
        <v>321391930</v>
      </c>
      <c r="F823" s="70">
        <v>0</v>
      </c>
      <c r="G823" s="71">
        <f t="shared" si="37"/>
        <v>953643979</v>
      </c>
      <c r="H823" s="60">
        <v>0</v>
      </c>
      <c r="I823" s="72"/>
    </row>
    <row r="824" spans="1:9">
      <c r="A824" s="68" t="s">
        <v>31</v>
      </c>
      <c r="B824" s="69">
        <v>1999</v>
      </c>
      <c r="C824" s="70">
        <v>369365242</v>
      </c>
      <c r="D824" s="70">
        <v>298302823</v>
      </c>
      <c r="E824" s="70">
        <v>341133219</v>
      </c>
      <c r="F824" s="70">
        <v>0</v>
      </c>
      <c r="G824" s="71">
        <f t="shared" si="37"/>
        <v>1008801284</v>
      </c>
      <c r="H824" s="60">
        <v>0</v>
      </c>
      <c r="I824" s="72"/>
    </row>
    <row r="825" spans="1:9">
      <c r="A825" s="68" t="s">
        <v>31</v>
      </c>
      <c r="B825" s="69">
        <v>2000</v>
      </c>
      <c r="C825" s="70">
        <v>401247610</v>
      </c>
      <c r="D825" s="70">
        <v>308241290</v>
      </c>
      <c r="E825" s="70">
        <v>378298654</v>
      </c>
      <c r="F825" s="70">
        <v>0</v>
      </c>
      <c r="G825" s="71">
        <f t="shared" si="37"/>
        <v>1087787554</v>
      </c>
      <c r="H825" s="60">
        <v>0</v>
      </c>
      <c r="I825" s="72"/>
    </row>
    <row r="826" spans="1:9">
      <c r="A826" s="68" t="s">
        <v>31</v>
      </c>
      <c r="B826" s="69">
        <v>2001</v>
      </c>
      <c r="C826" s="70">
        <v>399776120</v>
      </c>
      <c r="D826" s="70">
        <v>419768711</v>
      </c>
      <c r="E826" s="70">
        <v>442798369</v>
      </c>
      <c r="F826" s="70">
        <v>0</v>
      </c>
      <c r="G826" s="71">
        <f t="shared" si="37"/>
        <v>1262343200</v>
      </c>
      <c r="H826" s="60">
        <v>0</v>
      </c>
      <c r="I826" s="72"/>
    </row>
    <row r="827" spans="1:9">
      <c r="A827" s="68" t="s">
        <v>31</v>
      </c>
      <c r="B827" s="69">
        <v>2002</v>
      </c>
      <c r="C827" s="70">
        <v>395877531</v>
      </c>
      <c r="D827" s="70">
        <v>514913400</v>
      </c>
      <c r="E827" s="70">
        <v>513015519</v>
      </c>
      <c r="F827" s="70">
        <v>0</v>
      </c>
      <c r="G827" s="71">
        <f t="shared" si="37"/>
        <v>1423806450</v>
      </c>
      <c r="H827" s="60">
        <v>0</v>
      </c>
      <c r="I827" s="72"/>
    </row>
    <row r="828" spans="1:9">
      <c r="A828" s="68" t="s">
        <v>31</v>
      </c>
      <c r="B828" s="69">
        <v>2003</v>
      </c>
      <c r="C828" s="73">
        <v>416199293</v>
      </c>
      <c r="D828" s="73">
        <v>490942012</v>
      </c>
      <c r="E828" s="73">
        <v>522800002</v>
      </c>
      <c r="F828" s="70">
        <v>0</v>
      </c>
      <c r="G828" s="71">
        <f t="shared" si="37"/>
        <v>1429941307</v>
      </c>
      <c r="H828" s="60">
        <v>0</v>
      </c>
      <c r="I828" s="72"/>
    </row>
    <row r="829" spans="1:9">
      <c r="A829" s="68" t="s">
        <v>31</v>
      </c>
      <c r="B829" s="69">
        <v>2004</v>
      </c>
      <c r="C829" s="73">
        <v>424722865</v>
      </c>
      <c r="D829" s="73">
        <v>439336806</v>
      </c>
      <c r="E829" s="73">
        <v>525965504</v>
      </c>
      <c r="F829" s="70">
        <v>0</v>
      </c>
      <c r="G829" s="71">
        <f t="shared" si="37"/>
        <v>1390025175</v>
      </c>
      <c r="H829" s="60">
        <v>0</v>
      </c>
      <c r="I829" s="72"/>
    </row>
    <row r="830" spans="1:9">
      <c r="A830" s="68" t="s">
        <v>31</v>
      </c>
      <c r="B830" s="69">
        <v>2005</v>
      </c>
      <c r="C830" s="73">
        <v>448972517</v>
      </c>
      <c r="D830" s="73">
        <v>412759260</v>
      </c>
      <c r="E830" s="73">
        <v>573230872.63</v>
      </c>
      <c r="F830" s="70">
        <v>0</v>
      </c>
      <c r="G830" s="71">
        <f t="shared" si="37"/>
        <v>1434962649.6300001</v>
      </c>
      <c r="H830" s="60">
        <v>0</v>
      </c>
      <c r="I830" s="72"/>
    </row>
    <row r="831" spans="1:9">
      <c r="A831" s="68" t="s">
        <v>31</v>
      </c>
      <c r="B831" s="69">
        <v>2006</v>
      </c>
      <c r="C831" s="74">
        <v>476542909</v>
      </c>
      <c r="D831" s="74">
        <v>453719971</v>
      </c>
      <c r="E831" s="74">
        <v>699489440</v>
      </c>
      <c r="F831" s="74">
        <v>0</v>
      </c>
      <c r="G831" s="71">
        <f t="shared" si="37"/>
        <v>1629752320</v>
      </c>
      <c r="H831" s="60">
        <v>0</v>
      </c>
      <c r="I831" s="72"/>
    </row>
    <row r="832" spans="1:9">
      <c r="A832" s="68" t="s">
        <v>31</v>
      </c>
      <c r="B832" s="69">
        <v>2007</v>
      </c>
      <c r="C832" s="74">
        <v>496065345</v>
      </c>
      <c r="D832" s="74">
        <v>439507333</v>
      </c>
      <c r="E832" s="74">
        <v>858165100</v>
      </c>
      <c r="F832" s="74">
        <v>0</v>
      </c>
      <c r="G832" s="71">
        <f t="shared" si="37"/>
        <v>1793737778</v>
      </c>
      <c r="H832" s="60">
        <v>0</v>
      </c>
      <c r="I832" s="72"/>
    </row>
    <row r="833" spans="1:9">
      <c r="A833" s="68" t="s">
        <v>31</v>
      </c>
      <c r="B833" s="69">
        <v>2008</v>
      </c>
      <c r="C833" s="74">
        <v>504550468</v>
      </c>
      <c r="D833" s="74">
        <v>556534610</v>
      </c>
      <c r="E833" s="74">
        <v>1295299338</v>
      </c>
      <c r="F833" s="74">
        <v>0</v>
      </c>
      <c r="G833" s="71">
        <f t="shared" si="37"/>
        <v>2356384416</v>
      </c>
      <c r="H833" s="60">
        <v>0</v>
      </c>
      <c r="I833" s="72"/>
    </row>
    <row r="834" spans="1:9">
      <c r="A834" s="68" t="s">
        <v>31</v>
      </c>
      <c r="B834" s="69">
        <v>2009</v>
      </c>
      <c r="C834" s="73">
        <v>578469695</v>
      </c>
      <c r="D834" s="74">
        <v>581539791</v>
      </c>
      <c r="E834" s="74">
        <v>1385110720</v>
      </c>
      <c r="F834" s="74">
        <v>0</v>
      </c>
      <c r="G834" s="71">
        <f t="shared" si="37"/>
        <v>2545120206</v>
      </c>
      <c r="H834" s="60">
        <v>0</v>
      </c>
      <c r="I834" s="72"/>
    </row>
    <row r="835" spans="1:9">
      <c r="A835" s="68" t="s">
        <v>31</v>
      </c>
      <c r="B835" s="69">
        <v>2010</v>
      </c>
      <c r="C835" s="73">
        <v>598295452</v>
      </c>
      <c r="D835" s="74">
        <v>500597871</v>
      </c>
      <c r="E835" s="74">
        <v>1327280737</v>
      </c>
      <c r="F835" s="74">
        <v>0</v>
      </c>
      <c r="G835" s="71">
        <f t="shared" si="37"/>
        <v>2426174060</v>
      </c>
      <c r="H835" s="60">
        <v>0</v>
      </c>
      <c r="I835" s="72"/>
    </row>
    <row r="836" spans="1:9">
      <c r="A836" s="68" t="s">
        <v>31</v>
      </c>
      <c r="B836" s="69">
        <v>2011</v>
      </c>
      <c r="C836" s="73">
        <v>608966980</v>
      </c>
      <c r="D836" s="74">
        <v>519299365</v>
      </c>
      <c r="E836" s="74">
        <v>1469603606.9200001</v>
      </c>
      <c r="F836" s="74">
        <v>0</v>
      </c>
      <c r="G836" s="71">
        <f t="shared" si="37"/>
        <v>2597869951.9200001</v>
      </c>
      <c r="H836" s="60">
        <v>0</v>
      </c>
      <c r="I836" s="72"/>
    </row>
    <row r="837" spans="1:9">
      <c r="A837" s="68" t="s">
        <v>31</v>
      </c>
      <c r="B837" s="69">
        <v>2012</v>
      </c>
      <c r="C837" s="73">
        <v>638070785</v>
      </c>
      <c r="D837" s="74">
        <v>590553977</v>
      </c>
      <c r="E837" s="74">
        <v>1505448760</v>
      </c>
      <c r="F837" s="74">
        <v>24715538</v>
      </c>
      <c r="G837" s="71">
        <f t="shared" si="37"/>
        <v>2758789060</v>
      </c>
      <c r="H837" s="60">
        <v>1860970</v>
      </c>
      <c r="I837" s="60" t="s">
        <v>402</v>
      </c>
    </row>
    <row r="838" spans="1:9">
      <c r="A838" s="68"/>
      <c r="C838" s="70" t="s">
        <v>395</v>
      </c>
      <c r="D838" s="70"/>
      <c r="E838" s="70"/>
      <c r="F838" s="70"/>
      <c r="G838" s="76"/>
      <c r="I838" s="72"/>
    </row>
    <row r="839" spans="1:9">
      <c r="A839" s="68" t="s">
        <v>32</v>
      </c>
      <c r="B839" s="69">
        <v>1988</v>
      </c>
      <c r="C839" s="70">
        <v>4446025393</v>
      </c>
      <c r="D839" s="70">
        <v>4568377805</v>
      </c>
      <c r="E839" s="70">
        <v>4742304311</v>
      </c>
      <c r="F839" s="70">
        <v>1632565849</v>
      </c>
      <c r="G839" s="71">
        <f>SUM(C839:F839)</f>
        <v>15389273358</v>
      </c>
      <c r="H839" s="60">
        <v>0</v>
      </c>
      <c r="I839" s="72"/>
    </row>
    <row r="840" spans="1:9">
      <c r="A840" s="68" t="s">
        <v>32</v>
      </c>
      <c r="B840" s="69">
        <v>1989</v>
      </c>
      <c r="C840" s="70">
        <v>4509186013</v>
      </c>
      <c r="D840" s="70">
        <v>4812919847</v>
      </c>
      <c r="E840" s="70">
        <v>5149446770</v>
      </c>
      <c r="F840" s="70">
        <v>1639511338</v>
      </c>
      <c r="G840" s="71">
        <f t="shared" ref="G840:G863" si="38">SUM(C840:F840)</f>
        <v>16111063968</v>
      </c>
      <c r="H840" s="60">
        <v>0</v>
      </c>
      <c r="I840" s="72"/>
    </row>
    <row r="841" spans="1:9">
      <c r="A841" s="68" t="s">
        <v>32</v>
      </c>
      <c r="B841" s="69">
        <v>1990</v>
      </c>
      <c r="C841" s="70">
        <v>4765779478</v>
      </c>
      <c r="D841" s="70">
        <v>5726596587.96</v>
      </c>
      <c r="E841" s="70">
        <v>5267075151</v>
      </c>
      <c r="F841" s="70">
        <v>1388082664</v>
      </c>
      <c r="G841" s="71">
        <f t="shared" si="38"/>
        <v>17147533880.959999</v>
      </c>
      <c r="H841" s="60">
        <v>0</v>
      </c>
      <c r="I841" s="72"/>
    </row>
    <row r="842" spans="1:9">
      <c r="A842" s="68" t="s">
        <v>32</v>
      </c>
      <c r="B842" s="69">
        <v>1991</v>
      </c>
      <c r="C842" s="70">
        <v>5073975953</v>
      </c>
      <c r="D842" s="70">
        <v>5829948814</v>
      </c>
      <c r="E842" s="70">
        <v>5573432664</v>
      </c>
      <c r="F842" s="70">
        <v>1313616365</v>
      </c>
      <c r="G842" s="71">
        <f t="shared" si="38"/>
        <v>17790973796</v>
      </c>
      <c r="H842" s="60">
        <v>0</v>
      </c>
      <c r="I842" s="72"/>
    </row>
    <row r="843" spans="1:9">
      <c r="A843" s="68" t="s">
        <v>32</v>
      </c>
      <c r="B843" s="69">
        <v>1992</v>
      </c>
      <c r="C843" s="70">
        <v>5423692378</v>
      </c>
      <c r="D843" s="70">
        <v>6077931582.5600004</v>
      </c>
      <c r="E843" s="70">
        <v>5692188109</v>
      </c>
      <c r="F843" s="70">
        <v>749635505</v>
      </c>
      <c r="G843" s="71">
        <f t="shared" si="38"/>
        <v>17943447574.560001</v>
      </c>
      <c r="H843" s="60">
        <v>0</v>
      </c>
      <c r="I843" s="72"/>
    </row>
    <row r="844" spans="1:9">
      <c r="A844" s="68" t="s">
        <v>32</v>
      </c>
      <c r="B844" s="69">
        <v>1993</v>
      </c>
      <c r="C844" s="70">
        <v>5564000618</v>
      </c>
      <c r="D844" s="70">
        <v>4539803629</v>
      </c>
      <c r="E844" s="70">
        <v>5895008131</v>
      </c>
      <c r="F844" s="70">
        <v>741223678</v>
      </c>
      <c r="G844" s="71">
        <f t="shared" si="38"/>
        <v>16740036056</v>
      </c>
      <c r="H844" s="60">
        <v>0</v>
      </c>
      <c r="I844" s="72"/>
    </row>
    <row r="845" spans="1:9">
      <c r="A845" s="68" t="s">
        <v>32</v>
      </c>
      <c r="B845" s="69">
        <v>1994</v>
      </c>
      <c r="C845" s="70">
        <v>5682942116</v>
      </c>
      <c r="D845" s="70">
        <v>5925954151</v>
      </c>
      <c r="E845" s="70">
        <v>5687164985</v>
      </c>
      <c r="F845" s="70">
        <v>-20828161</v>
      </c>
      <c r="G845" s="71">
        <f t="shared" si="38"/>
        <v>17275233091</v>
      </c>
      <c r="H845" s="60">
        <v>0</v>
      </c>
      <c r="I845" s="72"/>
    </row>
    <row r="846" spans="1:9">
      <c r="A846" s="68" t="s">
        <v>32</v>
      </c>
      <c r="B846" s="69">
        <v>1995</v>
      </c>
      <c r="C846" s="70">
        <v>6540894447</v>
      </c>
      <c r="D846" s="70">
        <v>6077855541</v>
      </c>
      <c r="E846" s="70">
        <v>5463297233</v>
      </c>
      <c r="F846" s="70">
        <v>711370555</v>
      </c>
      <c r="G846" s="71">
        <f t="shared" si="38"/>
        <v>18793417776</v>
      </c>
      <c r="H846" s="60">
        <v>0</v>
      </c>
      <c r="I846" s="72"/>
    </row>
    <row r="847" spans="1:9">
      <c r="A847" s="68" t="s">
        <v>32</v>
      </c>
      <c r="B847" s="69">
        <v>1996</v>
      </c>
      <c r="C847" s="70">
        <v>5865473390</v>
      </c>
      <c r="D847" s="70">
        <v>4961870011</v>
      </c>
      <c r="E847" s="70">
        <v>5378899201</v>
      </c>
      <c r="F847" s="70">
        <v>505529008</v>
      </c>
      <c r="G847" s="71">
        <f t="shared" si="38"/>
        <v>16711771610</v>
      </c>
      <c r="H847" s="60">
        <v>0</v>
      </c>
      <c r="I847" s="72"/>
    </row>
    <row r="848" spans="1:9">
      <c r="A848" s="68" t="s">
        <v>32</v>
      </c>
      <c r="B848" s="69">
        <v>1997</v>
      </c>
      <c r="C848" s="70">
        <v>6237127269</v>
      </c>
      <c r="D848" s="70">
        <v>5624309462</v>
      </c>
      <c r="E848" s="70">
        <v>5951408523</v>
      </c>
      <c r="F848" s="70">
        <v>456203706</v>
      </c>
      <c r="G848" s="71">
        <f t="shared" si="38"/>
        <v>18269048960</v>
      </c>
      <c r="H848" s="60">
        <v>0</v>
      </c>
      <c r="I848" s="72"/>
    </row>
    <row r="849" spans="1:9">
      <c r="A849" s="68" t="s">
        <v>32</v>
      </c>
      <c r="B849" s="69">
        <v>1998</v>
      </c>
      <c r="C849" s="70">
        <v>6671375041</v>
      </c>
      <c r="D849" s="70">
        <v>4921252456</v>
      </c>
      <c r="E849" s="70">
        <v>5865800022</v>
      </c>
      <c r="F849" s="70">
        <v>878698579</v>
      </c>
      <c r="G849" s="71">
        <f t="shared" si="38"/>
        <v>18337126098</v>
      </c>
      <c r="H849" s="60">
        <v>0</v>
      </c>
      <c r="I849" s="72"/>
    </row>
    <row r="850" spans="1:9">
      <c r="A850" s="68" t="s">
        <v>32</v>
      </c>
      <c r="B850" s="69">
        <v>1999</v>
      </c>
      <c r="C850" s="70">
        <v>6274814732</v>
      </c>
      <c r="D850" s="70">
        <v>5878277911</v>
      </c>
      <c r="E850" s="70">
        <v>6370923275</v>
      </c>
      <c r="F850" s="70">
        <v>663704996</v>
      </c>
      <c r="G850" s="71">
        <f t="shared" si="38"/>
        <v>19187720914</v>
      </c>
      <c r="H850" s="60">
        <v>0</v>
      </c>
      <c r="I850" s="72"/>
    </row>
    <row r="851" spans="1:9">
      <c r="A851" s="68" t="s">
        <v>32</v>
      </c>
      <c r="B851" s="69">
        <v>2000</v>
      </c>
      <c r="C851" s="70">
        <v>6349579179</v>
      </c>
      <c r="D851" s="70">
        <v>7613325320</v>
      </c>
      <c r="E851" s="70">
        <v>7206223650</v>
      </c>
      <c r="F851" s="70">
        <v>680144164</v>
      </c>
      <c r="G851" s="71">
        <f t="shared" si="38"/>
        <v>21849272313</v>
      </c>
      <c r="H851" s="60">
        <v>0</v>
      </c>
      <c r="I851" s="72"/>
    </row>
    <row r="852" spans="1:9">
      <c r="A852" s="68" t="s">
        <v>32</v>
      </c>
      <c r="B852" s="69">
        <v>2001</v>
      </c>
      <c r="C852" s="70">
        <v>6372678143</v>
      </c>
      <c r="D852" s="70">
        <v>10572064049</v>
      </c>
      <c r="E852" s="70">
        <v>6848297092</v>
      </c>
      <c r="F852" s="70">
        <v>912651400</v>
      </c>
      <c r="G852" s="71">
        <f t="shared" si="38"/>
        <v>24705690684</v>
      </c>
      <c r="H852" s="60">
        <v>0</v>
      </c>
      <c r="I852" s="72"/>
    </row>
    <row r="853" spans="1:9">
      <c r="A853" s="68" t="s">
        <v>32</v>
      </c>
      <c r="B853" s="69">
        <v>2002</v>
      </c>
      <c r="C853" s="70">
        <v>6683022346</v>
      </c>
      <c r="D853" s="70">
        <v>14288214828</v>
      </c>
      <c r="E853" s="70">
        <v>7434052485</v>
      </c>
      <c r="F853" s="70">
        <v>460435693</v>
      </c>
      <c r="G853" s="71">
        <f t="shared" si="38"/>
        <v>28865725352</v>
      </c>
      <c r="H853" s="60">
        <v>0</v>
      </c>
      <c r="I853" s="72"/>
    </row>
    <row r="854" spans="1:9">
      <c r="A854" s="68" t="s">
        <v>32</v>
      </c>
      <c r="B854" s="69">
        <v>2003</v>
      </c>
      <c r="C854" s="73">
        <v>7093177608</v>
      </c>
      <c r="D854" s="73">
        <v>12339386483</v>
      </c>
      <c r="E854" s="73">
        <v>7851903600</v>
      </c>
      <c r="F854" s="73">
        <v>631846092</v>
      </c>
      <c r="G854" s="71">
        <f t="shared" si="38"/>
        <v>27916313783</v>
      </c>
      <c r="H854" s="60">
        <v>0</v>
      </c>
      <c r="I854" s="72"/>
    </row>
    <row r="855" spans="1:9">
      <c r="A855" s="68" t="s">
        <v>32</v>
      </c>
      <c r="B855" s="69">
        <v>2004</v>
      </c>
      <c r="C855" s="73">
        <v>7635497556</v>
      </c>
      <c r="D855" s="73">
        <v>10723207047</v>
      </c>
      <c r="E855" s="73">
        <v>8800931777</v>
      </c>
      <c r="F855" s="73">
        <v>942362774</v>
      </c>
      <c r="G855" s="71">
        <f t="shared" si="38"/>
        <v>28101999154</v>
      </c>
      <c r="H855" s="60">
        <v>0</v>
      </c>
      <c r="I855" s="72"/>
    </row>
    <row r="856" spans="1:9">
      <c r="A856" s="68" t="s">
        <v>32</v>
      </c>
      <c r="B856" s="69">
        <v>2005</v>
      </c>
      <c r="C856" s="73">
        <v>7699921709</v>
      </c>
      <c r="D856" s="73">
        <v>9442568288</v>
      </c>
      <c r="E856" s="73">
        <v>9104872358.4300003</v>
      </c>
      <c r="F856" s="73">
        <v>1326022439</v>
      </c>
      <c r="G856" s="71">
        <f t="shared" si="38"/>
        <v>27573384794.43</v>
      </c>
      <c r="H856" s="60">
        <v>0</v>
      </c>
      <c r="I856" s="72"/>
    </row>
    <row r="857" spans="1:9">
      <c r="A857" s="68" t="s">
        <v>32</v>
      </c>
      <c r="B857" s="69">
        <v>2006</v>
      </c>
      <c r="C857" s="74">
        <v>8202674363</v>
      </c>
      <c r="D857" s="74">
        <v>10976356560</v>
      </c>
      <c r="E857" s="74">
        <v>8662114950</v>
      </c>
      <c r="F857" s="74">
        <v>1468048338</v>
      </c>
      <c r="G857" s="71">
        <f t="shared" si="38"/>
        <v>29309194211</v>
      </c>
      <c r="H857" s="60">
        <v>0</v>
      </c>
      <c r="I857" s="72"/>
    </row>
    <row r="858" spans="1:9">
      <c r="A858" s="68" t="s">
        <v>32</v>
      </c>
      <c r="B858" s="69">
        <v>2007</v>
      </c>
      <c r="C858" s="74">
        <v>8538356100</v>
      </c>
      <c r="D858" s="74">
        <v>10777659214</v>
      </c>
      <c r="E858" s="74">
        <v>13303773763</v>
      </c>
      <c r="F858" s="74">
        <v>1110537877</v>
      </c>
      <c r="G858" s="71">
        <f t="shared" si="38"/>
        <v>33730326954</v>
      </c>
      <c r="H858" s="60">
        <v>0</v>
      </c>
      <c r="I858" s="72"/>
    </row>
    <row r="859" spans="1:9">
      <c r="A859" s="68" t="s">
        <v>32</v>
      </c>
      <c r="B859" s="69">
        <v>2008</v>
      </c>
      <c r="C859" s="74">
        <v>8891375084</v>
      </c>
      <c r="D859" s="74">
        <v>14798276605</v>
      </c>
      <c r="E859" s="74">
        <v>15717395126</v>
      </c>
      <c r="F859" s="74">
        <v>1701438893</v>
      </c>
      <c r="G859" s="71">
        <f t="shared" si="38"/>
        <v>41108485708</v>
      </c>
      <c r="H859" s="60">
        <v>0</v>
      </c>
      <c r="I859" s="72"/>
    </row>
    <row r="860" spans="1:9">
      <c r="A860" s="68" t="s">
        <v>32</v>
      </c>
      <c r="B860" s="69">
        <v>2009</v>
      </c>
      <c r="C860" s="74">
        <v>9136279389</v>
      </c>
      <c r="D860" s="74">
        <v>12795184044</v>
      </c>
      <c r="E860" s="74">
        <v>17059951581</v>
      </c>
      <c r="F860" s="74">
        <v>882632693</v>
      </c>
      <c r="G860" s="71">
        <f t="shared" si="38"/>
        <v>39874047707</v>
      </c>
      <c r="H860" s="60">
        <v>0</v>
      </c>
      <c r="I860" s="72"/>
    </row>
    <row r="861" spans="1:9">
      <c r="A861" s="68" t="s">
        <v>32</v>
      </c>
      <c r="B861" s="69">
        <v>2010</v>
      </c>
      <c r="C861" s="74">
        <v>9544372938</v>
      </c>
      <c r="D861" s="74">
        <v>9912269203</v>
      </c>
      <c r="E861" s="74">
        <v>17918052852</v>
      </c>
      <c r="F861" s="74">
        <v>954446598</v>
      </c>
      <c r="G861" s="71">
        <f t="shared" si="38"/>
        <v>38329141591</v>
      </c>
      <c r="H861" s="60">
        <v>0</v>
      </c>
      <c r="I861" s="72"/>
    </row>
    <row r="862" spans="1:9">
      <c r="A862" s="68" t="s">
        <v>32</v>
      </c>
      <c r="B862" s="69">
        <v>2011</v>
      </c>
      <c r="C862" s="74">
        <v>9479565517</v>
      </c>
      <c r="D862" s="74">
        <v>9851073462</v>
      </c>
      <c r="E862" s="74">
        <v>19322720141.060001</v>
      </c>
      <c r="F862" s="74">
        <v>891791285</v>
      </c>
      <c r="G862" s="71">
        <f t="shared" si="38"/>
        <v>39545150405.059998</v>
      </c>
      <c r="H862" s="60">
        <v>0</v>
      </c>
      <c r="I862" s="72"/>
    </row>
    <row r="863" spans="1:9">
      <c r="A863" s="68" t="s">
        <v>32</v>
      </c>
      <c r="B863" s="69">
        <v>2012</v>
      </c>
      <c r="C863" s="74">
        <v>9901794357</v>
      </c>
      <c r="D863" s="74">
        <v>11873451449</v>
      </c>
      <c r="E863" s="74">
        <v>19093858928</v>
      </c>
      <c r="F863" s="74">
        <v>2294245562</v>
      </c>
      <c r="G863" s="71">
        <f t="shared" si="38"/>
        <v>43163350296</v>
      </c>
      <c r="H863" s="60">
        <v>0</v>
      </c>
      <c r="I863" s="72"/>
    </row>
    <row r="864" spans="1:9">
      <c r="A864" s="68"/>
      <c r="C864" s="70"/>
      <c r="D864" s="70"/>
      <c r="E864" s="70"/>
      <c r="F864" s="70"/>
      <c r="G864" s="76"/>
      <c r="I864" s="72"/>
    </row>
    <row r="865" spans="1:9">
      <c r="A865" s="68" t="s">
        <v>33</v>
      </c>
      <c r="B865" s="69">
        <v>1988</v>
      </c>
      <c r="C865" s="70">
        <v>1576211257</v>
      </c>
      <c r="D865" s="70">
        <v>965244453</v>
      </c>
      <c r="E865" s="70">
        <v>1169154078</v>
      </c>
      <c r="F865" s="70">
        <v>297345235</v>
      </c>
      <c r="G865" s="71">
        <f>SUM(C865:F865)</f>
        <v>4007955023</v>
      </c>
      <c r="H865" s="60">
        <v>0</v>
      </c>
      <c r="I865" s="72"/>
    </row>
    <row r="866" spans="1:9">
      <c r="A866" s="68" t="s">
        <v>33</v>
      </c>
      <c r="B866" s="69">
        <v>1989</v>
      </c>
      <c r="C866" s="70">
        <v>1623745015</v>
      </c>
      <c r="D866" s="70">
        <v>999194134</v>
      </c>
      <c r="E866" s="70">
        <v>1319275033</v>
      </c>
      <c r="F866" s="70">
        <v>140253076</v>
      </c>
      <c r="G866" s="71">
        <f t="shared" ref="G866:G889" si="39">SUM(C866:F866)</f>
        <v>4082467258</v>
      </c>
      <c r="H866" s="60">
        <v>0</v>
      </c>
      <c r="I866" s="72"/>
    </row>
    <row r="867" spans="1:9">
      <c r="A867" s="68" t="s">
        <v>33</v>
      </c>
      <c r="B867" s="69">
        <v>1990</v>
      </c>
      <c r="C867" s="70">
        <v>1822113981</v>
      </c>
      <c r="D867" s="70">
        <v>1187538878.5999999</v>
      </c>
      <c r="E867" s="70">
        <v>1457270393</v>
      </c>
      <c r="F867" s="70">
        <v>161054913</v>
      </c>
      <c r="G867" s="71">
        <f t="shared" si="39"/>
        <v>4627978165.6000004</v>
      </c>
      <c r="H867" s="60">
        <v>0</v>
      </c>
      <c r="I867" s="72"/>
    </row>
    <row r="868" spans="1:9">
      <c r="A868" s="68" t="s">
        <v>33</v>
      </c>
      <c r="B868" s="69">
        <v>1991</v>
      </c>
      <c r="C868" s="70">
        <v>1890224150</v>
      </c>
      <c r="D868" s="70">
        <v>1009419304</v>
      </c>
      <c r="E868" s="70">
        <v>1575306222</v>
      </c>
      <c r="F868" s="70">
        <v>985271351</v>
      </c>
      <c r="G868" s="71">
        <f t="shared" si="39"/>
        <v>5460221027</v>
      </c>
      <c r="H868" s="60">
        <v>0</v>
      </c>
      <c r="I868" s="72"/>
    </row>
    <row r="869" spans="1:9">
      <c r="A869" s="68" t="s">
        <v>33</v>
      </c>
      <c r="B869" s="69">
        <v>1992</v>
      </c>
      <c r="C869" s="70">
        <v>2005947831</v>
      </c>
      <c r="D869" s="70">
        <v>1053287642.4</v>
      </c>
      <c r="E869" s="70">
        <v>1674492275</v>
      </c>
      <c r="F869" s="70">
        <v>646822015</v>
      </c>
      <c r="G869" s="71">
        <f t="shared" si="39"/>
        <v>5380549763.3999996</v>
      </c>
      <c r="H869" s="60">
        <v>0</v>
      </c>
      <c r="I869" s="72"/>
    </row>
    <row r="870" spans="1:9">
      <c r="A870" s="68" t="s">
        <v>33</v>
      </c>
      <c r="B870" s="69">
        <v>1993</v>
      </c>
      <c r="C870" s="70">
        <v>2303511574</v>
      </c>
      <c r="D870" s="70">
        <v>821679848</v>
      </c>
      <c r="E870" s="70">
        <v>1821947289</v>
      </c>
      <c r="F870" s="70">
        <v>757431262</v>
      </c>
      <c r="G870" s="71">
        <f t="shared" si="39"/>
        <v>5704569973</v>
      </c>
      <c r="H870" s="60">
        <v>0</v>
      </c>
      <c r="I870" s="72"/>
    </row>
    <row r="871" spans="1:9">
      <c r="A871" s="68" t="s">
        <v>33</v>
      </c>
      <c r="B871" s="69">
        <v>1994</v>
      </c>
      <c r="C871" s="70">
        <v>2436915646</v>
      </c>
      <c r="D871" s="70">
        <v>1203222295</v>
      </c>
      <c r="E871" s="70">
        <v>1911502511</v>
      </c>
      <c r="F871" s="70">
        <v>720045572</v>
      </c>
      <c r="G871" s="71">
        <f t="shared" si="39"/>
        <v>6271686024</v>
      </c>
      <c r="H871" s="60">
        <v>0</v>
      </c>
      <c r="I871" s="72"/>
    </row>
    <row r="872" spans="1:9">
      <c r="A872" s="68" t="s">
        <v>33</v>
      </c>
      <c r="B872" s="69">
        <v>1995</v>
      </c>
      <c r="C872" s="70">
        <v>2534603476</v>
      </c>
      <c r="D872" s="70">
        <v>1189509137</v>
      </c>
      <c r="E872" s="70">
        <v>3010616221</v>
      </c>
      <c r="F872" s="70">
        <v>626791461</v>
      </c>
      <c r="G872" s="71">
        <f t="shared" si="39"/>
        <v>7361520295</v>
      </c>
      <c r="H872" s="60">
        <v>0</v>
      </c>
      <c r="I872" s="72"/>
    </row>
    <row r="873" spans="1:9">
      <c r="A873" s="68" t="s">
        <v>33</v>
      </c>
      <c r="B873" s="69">
        <v>1996</v>
      </c>
      <c r="C873" s="70">
        <v>2610371300</v>
      </c>
      <c r="D873" s="70">
        <v>1024509545</v>
      </c>
      <c r="E873" s="70">
        <v>3123139337</v>
      </c>
      <c r="F873" s="70">
        <v>649527488</v>
      </c>
      <c r="G873" s="71">
        <f t="shared" si="39"/>
        <v>7407547670</v>
      </c>
      <c r="H873" s="60">
        <v>0</v>
      </c>
      <c r="I873" s="72"/>
    </row>
    <row r="874" spans="1:9">
      <c r="A874" s="68" t="s">
        <v>33</v>
      </c>
      <c r="B874" s="69">
        <v>1997</v>
      </c>
      <c r="C874" s="70">
        <v>2549315599</v>
      </c>
      <c r="D874" s="70">
        <v>1236750477</v>
      </c>
      <c r="E874" s="70">
        <v>3295674983</v>
      </c>
      <c r="F874" s="70">
        <v>579634800</v>
      </c>
      <c r="G874" s="71">
        <f t="shared" si="39"/>
        <v>7661375859</v>
      </c>
      <c r="H874" s="60">
        <v>0</v>
      </c>
      <c r="I874" s="72"/>
    </row>
    <row r="875" spans="1:9">
      <c r="A875" s="68" t="s">
        <v>33</v>
      </c>
      <c r="B875" s="69">
        <v>1998</v>
      </c>
      <c r="C875" s="70">
        <v>3102840241</v>
      </c>
      <c r="D875" s="70">
        <v>1300280894</v>
      </c>
      <c r="E875" s="70">
        <v>3349075310</v>
      </c>
      <c r="F875" s="70">
        <v>473111198</v>
      </c>
      <c r="G875" s="71">
        <f t="shared" si="39"/>
        <v>8225307643</v>
      </c>
      <c r="H875" s="60">
        <v>0</v>
      </c>
      <c r="I875" s="72"/>
    </row>
    <row r="876" spans="1:9">
      <c r="A876" s="68" t="s">
        <v>33</v>
      </c>
      <c r="B876" s="69">
        <v>1999</v>
      </c>
      <c r="C876" s="70">
        <v>2696896497</v>
      </c>
      <c r="D876" s="70">
        <v>1836633077</v>
      </c>
      <c r="E876" s="70">
        <v>3649778320</v>
      </c>
      <c r="F876" s="70">
        <v>891843054</v>
      </c>
      <c r="G876" s="71">
        <f t="shared" si="39"/>
        <v>9075150948</v>
      </c>
      <c r="H876" s="60">
        <v>0</v>
      </c>
      <c r="I876" s="72"/>
    </row>
    <row r="877" spans="1:9">
      <c r="A877" s="68" t="s">
        <v>33</v>
      </c>
      <c r="B877" s="69">
        <v>2000</v>
      </c>
      <c r="C877" s="70">
        <v>3336683293</v>
      </c>
      <c r="D877" s="70">
        <v>2053852555</v>
      </c>
      <c r="E877" s="70">
        <v>4112063991</v>
      </c>
      <c r="F877" s="70">
        <v>699776079</v>
      </c>
      <c r="G877" s="71">
        <f t="shared" si="39"/>
        <v>10202375918</v>
      </c>
      <c r="H877" s="60">
        <v>0</v>
      </c>
      <c r="I877" s="72"/>
    </row>
    <row r="878" spans="1:9">
      <c r="A878" s="68" t="s">
        <v>33</v>
      </c>
      <c r="B878" s="69">
        <v>2001</v>
      </c>
      <c r="C878" s="70">
        <v>3045458927</v>
      </c>
      <c r="D878" s="70">
        <v>2843495265</v>
      </c>
      <c r="E878" s="70">
        <v>4317663762</v>
      </c>
      <c r="F878" s="70">
        <v>492959828</v>
      </c>
      <c r="G878" s="71">
        <f t="shared" si="39"/>
        <v>10699577782</v>
      </c>
      <c r="H878" s="60">
        <v>0</v>
      </c>
      <c r="I878" s="72"/>
    </row>
    <row r="879" spans="1:9">
      <c r="A879" s="68" t="s">
        <v>33</v>
      </c>
      <c r="B879" s="69">
        <v>2002</v>
      </c>
      <c r="C879" s="70">
        <v>3135939431</v>
      </c>
      <c r="D879" s="70">
        <v>3979428122</v>
      </c>
      <c r="E879" s="70">
        <v>4698009006</v>
      </c>
      <c r="F879" s="70">
        <v>619625352</v>
      </c>
      <c r="G879" s="71">
        <f t="shared" si="39"/>
        <v>12433001911</v>
      </c>
      <c r="H879" s="60">
        <v>0</v>
      </c>
      <c r="I879" s="72"/>
    </row>
    <row r="880" spans="1:9">
      <c r="A880" s="68" t="s">
        <v>33</v>
      </c>
      <c r="B880" s="69">
        <v>2003</v>
      </c>
      <c r="C880" s="73">
        <v>2983351816</v>
      </c>
      <c r="D880" s="73">
        <v>3676818985</v>
      </c>
      <c r="E880" s="73">
        <v>4905869805</v>
      </c>
      <c r="F880" s="73">
        <v>430790322</v>
      </c>
      <c r="G880" s="71">
        <f t="shared" si="39"/>
        <v>11996830928</v>
      </c>
      <c r="H880" s="60">
        <v>0</v>
      </c>
      <c r="I880" s="72"/>
    </row>
    <row r="881" spans="1:9">
      <c r="A881" s="68" t="s">
        <v>33</v>
      </c>
      <c r="B881" s="69">
        <v>2004</v>
      </c>
      <c r="C881" s="73">
        <v>3017296814</v>
      </c>
      <c r="D881" s="73">
        <v>3145321138</v>
      </c>
      <c r="E881" s="73">
        <v>5362292378</v>
      </c>
      <c r="F881" s="73">
        <v>412138877</v>
      </c>
      <c r="G881" s="71">
        <f t="shared" si="39"/>
        <v>11937049207</v>
      </c>
      <c r="H881" s="60">
        <v>0</v>
      </c>
      <c r="I881" s="72"/>
    </row>
    <row r="882" spans="1:9">
      <c r="A882" s="68" t="s">
        <v>33</v>
      </c>
      <c r="B882" s="69">
        <v>2005</v>
      </c>
      <c r="C882" s="73">
        <v>3115275303</v>
      </c>
      <c r="D882" s="73">
        <v>3099911047</v>
      </c>
      <c r="E882" s="73">
        <v>5884210882.1499901</v>
      </c>
      <c r="F882" s="73">
        <v>817039712</v>
      </c>
      <c r="G882" s="71">
        <f t="shared" si="39"/>
        <v>12916436944.14999</v>
      </c>
      <c r="H882" s="60">
        <v>0</v>
      </c>
      <c r="I882" s="72"/>
    </row>
    <row r="883" spans="1:9">
      <c r="A883" s="68" t="s">
        <v>33</v>
      </c>
      <c r="B883" s="69">
        <v>2006</v>
      </c>
      <c r="C883" s="74">
        <v>3370338158</v>
      </c>
      <c r="D883" s="74">
        <v>3375914426</v>
      </c>
      <c r="E883" s="74">
        <v>6752379642</v>
      </c>
      <c r="F883" s="74">
        <v>442370847</v>
      </c>
      <c r="G883" s="71">
        <f t="shared" si="39"/>
        <v>13941003073</v>
      </c>
      <c r="H883" s="60">
        <v>0</v>
      </c>
      <c r="I883" s="72"/>
    </row>
    <row r="884" spans="1:9">
      <c r="A884" s="68" t="s">
        <v>33</v>
      </c>
      <c r="B884" s="69">
        <v>2007</v>
      </c>
      <c r="C884" s="74">
        <v>3471950313</v>
      </c>
      <c r="D884" s="74">
        <v>3430752748</v>
      </c>
      <c r="E884" s="74">
        <v>7751883243</v>
      </c>
      <c r="F884" s="74">
        <v>526667603</v>
      </c>
      <c r="G884" s="71">
        <f t="shared" si="39"/>
        <v>15181253907</v>
      </c>
      <c r="H884" s="60">
        <v>0</v>
      </c>
      <c r="I884" s="72"/>
    </row>
    <row r="885" spans="1:9">
      <c r="A885" s="68" t="s">
        <v>33</v>
      </c>
      <c r="B885" s="69">
        <v>2008</v>
      </c>
      <c r="C885" s="74">
        <v>3578435894</v>
      </c>
      <c r="D885" s="74">
        <v>4701898477</v>
      </c>
      <c r="E885" s="74">
        <v>8283868055</v>
      </c>
      <c r="F885" s="74">
        <v>642489200</v>
      </c>
      <c r="G885" s="71">
        <f t="shared" si="39"/>
        <v>17206691626</v>
      </c>
      <c r="H885" s="60">
        <v>0</v>
      </c>
      <c r="I885" s="72"/>
    </row>
    <row r="886" spans="1:9">
      <c r="A886" s="68" t="s">
        <v>33</v>
      </c>
      <c r="B886" s="69">
        <v>2009</v>
      </c>
      <c r="C886" s="74">
        <v>3732635087</v>
      </c>
      <c r="D886" s="74">
        <v>4671091867</v>
      </c>
      <c r="E886" s="74">
        <v>8403625995</v>
      </c>
      <c r="F886" s="74">
        <v>757020943</v>
      </c>
      <c r="G886" s="71">
        <f t="shared" si="39"/>
        <v>17564373892</v>
      </c>
      <c r="H886" s="60">
        <v>0</v>
      </c>
      <c r="I886" s="72"/>
    </row>
    <row r="887" spans="1:9">
      <c r="A887" s="68" t="s">
        <v>33</v>
      </c>
      <c r="B887" s="69">
        <v>2010</v>
      </c>
      <c r="C887" s="74">
        <v>3941644362</v>
      </c>
      <c r="D887" s="74">
        <v>3896747082</v>
      </c>
      <c r="E887" s="74">
        <v>8847410340</v>
      </c>
      <c r="F887" s="74">
        <v>522861618</v>
      </c>
      <c r="G887" s="71">
        <f t="shared" si="39"/>
        <v>17208663402</v>
      </c>
      <c r="H887" s="60">
        <v>0</v>
      </c>
      <c r="I887" s="72"/>
    </row>
    <row r="888" spans="1:9">
      <c r="A888" s="68" t="s">
        <v>33</v>
      </c>
      <c r="B888" s="69">
        <v>2011</v>
      </c>
      <c r="C888" s="74">
        <v>4117051619</v>
      </c>
      <c r="D888" s="74">
        <v>3809439687</v>
      </c>
      <c r="E888" s="74">
        <v>8915135852.5100002</v>
      </c>
      <c r="F888" s="74">
        <v>601777807</v>
      </c>
      <c r="G888" s="71">
        <f t="shared" si="39"/>
        <v>17443404965.510002</v>
      </c>
      <c r="H888" s="60">
        <v>0</v>
      </c>
      <c r="I888" s="72"/>
    </row>
    <row r="889" spans="1:9">
      <c r="A889" s="68" t="s">
        <v>33</v>
      </c>
      <c r="B889" s="69">
        <v>2012</v>
      </c>
      <c r="C889" s="74">
        <v>4203464916</v>
      </c>
      <c r="D889" s="74">
        <v>4254123065</v>
      </c>
      <c r="E889" s="74">
        <v>9264707784</v>
      </c>
      <c r="F889" s="74">
        <v>626185615</v>
      </c>
      <c r="G889" s="71">
        <f t="shared" si="39"/>
        <v>18348481380</v>
      </c>
      <c r="H889" s="60">
        <v>0</v>
      </c>
      <c r="I889" s="72"/>
    </row>
    <row r="890" spans="1:9">
      <c r="A890" s="68"/>
      <c r="C890" s="70"/>
      <c r="D890" s="70"/>
      <c r="E890" s="70"/>
      <c r="F890" s="70"/>
      <c r="G890" s="76"/>
      <c r="I890" s="72"/>
    </row>
    <row r="891" spans="1:9">
      <c r="A891" s="68" t="s">
        <v>34</v>
      </c>
      <c r="B891" s="69">
        <v>1988</v>
      </c>
      <c r="C891" s="70">
        <v>149101958</v>
      </c>
      <c r="D891" s="70">
        <v>150864610</v>
      </c>
      <c r="E891" s="70">
        <v>117708329</v>
      </c>
      <c r="F891" s="70">
        <v>20081033</v>
      </c>
      <c r="G891" s="71">
        <f>SUM(C891:F891)</f>
        <v>437755930</v>
      </c>
      <c r="H891" s="60">
        <v>0</v>
      </c>
      <c r="I891" s="72"/>
    </row>
    <row r="892" spans="1:9">
      <c r="A892" s="68" t="s">
        <v>34</v>
      </c>
      <c r="B892" s="69">
        <v>1989</v>
      </c>
      <c r="C892" s="70">
        <v>147961050</v>
      </c>
      <c r="D892" s="70">
        <v>144092600</v>
      </c>
      <c r="E892" s="70">
        <v>118596232</v>
      </c>
      <c r="F892" s="70">
        <v>23499885</v>
      </c>
      <c r="G892" s="71">
        <f t="shared" ref="G892:G909" si="40">SUM(C892:F892)</f>
        <v>434149767</v>
      </c>
      <c r="H892" s="60">
        <v>0</v>
      </c>
      <c r="I892" s="72"/>
    </row>
    <row r="893" spans="1:9">
      <c r="A893" s="68" t="s">
        <v>34</v>
      </c>
      <c r="B893" s="69">
        <v>1990</v>
      </c>
      <c r="C893" s="70">
        <v>142834709</v>
      </c>
      <c r="D893" s="70">
        <v>173952838.72</v>
      </c>
      <c r="E893" s="70">
        <v>125638553</v>
      </c>
      <c r="F893" s="70">
        <v>21249321</v>
      </c>
      <c r="G893" s="71">
        <f t="shared" si="40"/>
        <v>463675421.72000003</v>
      </c>
      <c r="H893" s="60">
        <v>0</v>
      </c>
      <c r="I893" s="72"/>
    </row>
    <row r="894" spans="1:9">
      <c r="A894" s="68" t="s">
        <v>34</v>
      </c>
      <c r="B894" s="69">
        <v>1991</v>
      </c>
      <c r="C894" s="70">
        <v>137922363</v>
      </c>
      <c r="D894" s="70">
        <v>150360104</v>
      </c>
      <c r="E894" s="70">
        <v>439549120</v>
      </c>
      <c r="F894" s="70">
        <v>30874468</v>
      </c>
      <c r="G894" s="71">
        <f t="shared" si="40"/>
        <v>758706055</v>
      </c>
      <c r="H894" s="60">
        <v>0</v>
      </c>
      <c r="I894" s="72"/>
    </row>
    <row r="895" spans="1:9">
      <c r="A895" s="68" t="s">
        <v>34</v>
      </c>
      <c r="B895" s="69">
        <v>1992</v>
      </c>
      <c r="C895" s="70">
        <v>152556667</v>
      </c>
      <c r="D895" s="70">
        <v>137468722.75999999</v>
      </c>
      <c r="E895" s="70">
        <v>427971629</v>
      </c>
      <c r="F895" s="70">
        <v>23033145</v>
      </c>
      <c r="G895" s="71">
        <f t="shared" si="40"/>
        <v>741030163.75999999</v>
      </c>
      <c r="H895" s="60">
        <v>0</v>
      </c>
      <c r="I895" s="72"/>
    </row>
    <row r="896" spans="1:9">
      <c r="A896" s="68" t="s">
        <v>34</v>
      </c>
      <c r="B896" s="69">
        <v>1993</v>
      </c>
      <c r="C896" s="70">
        <v>150416311</v>
      </c>
      <c r="D896" s="70">
        <v>131286055</v>
      </c>
      <c r="E896" s="70">
        <v>431716028</v>
      </c>
      <c r="F896" s="70">
        <v>30785124</v>
      </c>
      <c r="G896" s="71">
        <f t="shared" si="40"/>
        <v>744203518</v>
      </c>
      <c r="H896" s="60">
        <v>0</v>
      </c>
      <c r="I896" s="72"/>
    </row>
    <row r="897" spans="1:9">
      <c r="A897" s="68" t="s">
        <v>34</v>
      </c>
      <c r="B897" s="69">
        <v>1994</v>
      </c>
      <c r="C897" s="70">
        <v>166905606</v>
      </c>
      <c r="D897" s="70">
        <v>186484399</v>
      </c>
      <c r="E897" s="70">
        <v>417967802</v>
      </c>
      <c r="F897" s="70">
        <v>37601911</v>
      </c>
      <c r="G897" s="71">
        <f t="shared" si="40"/>
        <v>808959718</v>
      </c>
      <c r="H897" s="60">
        <v>0</v>
      </c>
      <c r="I897" s="72"/>
    </row>
    <row r="898" spans="1:9">
      <c r="A898" s="68" t="s">
        <v>34</v>
      </c>
      <c r="B898" s="69">
        <v>1995</v>
      </c>
      <c r="C898" s="70">
        <v>177236172</v>
      </c>
      <c r="D898" s="70">
        <v>169084571</v>
      </c>
      <c r="E898" s="70">
        <v>491480586</v>
      </c>
      <c r="F898" s="70">
        <v>40178860</v>
      </c>
      <c r="G898" s="71">
        <f t="shared" si="40"/>
        <v>877980189</v>
      </c>
      <c r="H898" s="60">
        <v>0</v>
      </c>
      <c r="I898" s="72"/>
    </row>
    <row r="899" spans="1:9">
      <c r="A899" s="68" t="s">
        <v>34</v>
      </c>
      <c r="B899" s="69">
        <v>1996</v>
      </c>
      <c r="C899" s="70">
        <v>187428957</v>
      </c>
      <c r="D899" s="70">
        <v>115781794</v>
      </c>
      <c r="E899" s="70">
        <v>500364417</v>
      </c>
      <c r="F899" s="70">
        <v>25722770</v>
      </c>
      <c r="G899" s="71">
        <f t="shared" si="40"/>
        <v>829297938</v>
      </c>
      <c r="H899" s="60">
        <v>0</v>
      </c>
      <c r="I899" s="72"/>
    </row>
    <row r="900" spans="1:9">
      <c r="A900" s="68" t="s">
        <v>34</v>
      </c>
      <c r="B900" s="69">
        <v>1997</v>
      </c>
      <c r="C900" s="70">
        <v>172230258</v>
      </c>
      <c r="D900" s="70">
        <v>129491597</v>
      </c>
      <c r="E900" s="70">
        <v>526107462</v>
      </c>
      <c r="F900" s="70">
        <v>23451593</v>
      </c>
      <c r="G900" s="71">
        <f t="shared" si="40"/>
        <v>851280910</v>
      </c>
      <c r="H900" s="60">
        <v>0</v>
      </c>
      <c r="I900" s="72"/>
    </row>
    <row r="901" spans="1:9">
      <c r="A901" s="68" t="s">
        <v>34</v>
      </c>
      <c r="B901" s="69">
        <v>1998</v>
      </c>
      <c r="C901" s="70">
        <v>173984219</v>
      </c>
      <c r="D901" s="70">
        <v>126063852</v>
      </c>
      <c r="E901" s="70">
        <v>539861490</v>
      </c>
      <c r="F901" s="70">
        <v>26800511</v>
      </c>
      <c r="G901" s="71">
        <f t="shared" si="40"/>
        <v>866710072</v>
      </c>
      <c r="H901" s="60">
        <v>0</v>
      </c>
      <c r="I901" s="72"/>
    </row>
    <row r="902" spans="1:9">
      <c r="A902" s="68" t="s">
        <v>34</v>
      </c>
      <c r="B902" s="69">
        <v>1999</v>
      </c>
      <c r="C902" s="70">
        <v>179281481</v>
      </c>
      <c r="D902" s="70">
        <v>166910886</v>
      </c>
      <c r="E902" s="70">
        <v>575402233</v>
      </c>
      <c r="F902" s="70">
        <v>14751927</v>
      </c>
      <c r="G902" s="71">
        <f t="shared" si="40"/>
        <v>936346527</v>
      </c>
      <c r="H902" s="60">
        <f>945995+18771</f>
        <v>964766</v>
      </c>
      <c r="I902" s="72" t="s">
        <v>402</v>
      </c>
    </row>
    <row r="903" spans="1:9">
      <c r="A903" s="68" t="s">
        <v>34</v>
      </c>
      <c r="B903" s="69">
        <v>2000</v>
      </c>
      <c r="C903" s="70">
        <v>170778946</v>
      </c>
      <c r="D903" s="70">
        <v>186989723</v>
      </c>
      <c r="E903" s="70">
        <v>613396859</v>
      </c>
      <c r="F903" s="70">
        <v>5592101</v>
      </c>
      <c r="G903" s="71">
        <f t="shared" si="40"/>
        <v>976757629</v>
      </c>
      <c r="H903" s="60">
        <f>906210+86203</f>
        <v>992413</v>
      </c>
      <c r="I903" s="72" t="s">
        <v>402</v>
      </c>
    </row>
    <row r="904" spans="1:9">
      <c r="A904" s="68" t="s">
        <v>34</v>
      </c>
      <c r="B904" s="69">
        <v>2001</v>
      </c>
      <c r="C904" s="70">
        <v>167726029</v>
      </c>
      <c r="D904" s="70">
        <v>237276819</v>
      </c>
      <c r="E904" s="70">
        <v>667558395</v>
      </c>
      <c r="F904" s="70">
        <v>5084432</v>
      </c>
      <c r="G904" s="71">
        <f t="shared" si="40"/>
        <v>1077645675</v>
      </c>
      <c r="H904" s="60">
        <f>1382663+486130</f>
        <v>1868793</v>
      </c>
      <c r="I904" s="72" t="s">
        <v>402</v>
      </c>
    </row>
    <row r="905" spans="1:9">
      <c r="A905" s="68" t="s">
        <v>34</v>
      </c>
      <c r="B905" s="69">
        <v>2002</v>
      </c>
      <c r="C905" s="70">
        <v>179993108</v>
      </c>
      <c r="D905" s="70">
        <v>298409254</v>
      </c>
      <c r="E905" s="70">
        <v>718328407</v>
      </c>
      <c r="F905" s="70">
        <v>4391859</v>
      </c>
      <c r="G905" s="71">
        <f t="shared" si="40"/>
        <v>1201122628</v>
      </c>
      <c r="H905" s="60">
        <v>1319154</v>
      </c>
      <c r="I905" s="72" t="s">
        <v>402</v>
      </c>
    </row>
    <row r="906" spans="1:9">
      <c r="A906" s="68" t="s">
        <v>34</v>
      </c>
      <c r="B906" s="69">
        <v>2003</v>
      </c>
      <c r="C906" s="73">
        <v>199940786</v>
      </c>
      <c r="D906" s="73">
        <v>214983939</v>
      </c>
      <c r="E906" s="73">
        <v>752551816</v>
      </c>
      <c r="F906" s="73">
        <v>8927860</v>
      </c>
      <c r="G906" s="71">
        <f t="shared" si="40"/>
        <v>1176404401</v>
      </c>
      <c r="H906" s="60">
        <f>2406346+18692</f>
        <v>2425038</v>
      </c>
      <c r="I906" s="72" t="s">
        <v>402</v>
      </c>
    </row>
    <row r="907" spans="1:9">
      <c r="A907" s="68" t="s">
        <v>34</v>
      </c>
      <c r="B907" s="69">
        <v>2004</v>
      </c>
      <c r="C907" s="73">
        <v>190420415</v>
      </c>
      <c r="D907" s="73">
        <v>246554585</v>
      </c>
      <c r="E907" s="73">
        <v>747293199</v>
      </c>
      <c r="F907" s="73">
        <v>7477913</v>
      </c>
      <c r="G907" s="71">
        <f t="shared" si="40"/>
        <v>1191746112</v>
      </c>
      <c r="H907" s="60">
        <v>2945300</v>
      </c>
      <c r="I907" s="60" t="s">
        <v>402</v>
      </c>
    </row>
    <row r="908" spans="1:9" ht="13.5" customHeight="1">
      <c r="A908" s="68" t="s">
        <v>34</v>
      </c>
      <c r="B908" s="69">
        <v>2005</v>
      </c>
      <c r="C908" s="73">
        <v>204700170</v>
      </c>
      <c r="D908" s="73">
        <v>232238540</v>
      </c>
      <c r="E908" s="73">
        <v>795945941</v>
      </c>
      <c r="F908" s="73">
        <v>9976482</v>
      </c>
      <c r="G908" s="71">
        <f t="shared" si="40"/>
        <v>1242861133</v>
      </c>
      <c r="H908" s="60">
        <v>2021166</v>
      </c>
      <c r="I908" s="60" t="s">
        <v>402</v>
      </c>
    </row>
    <row r="909" spans="1:9" ht="13.5" customHeight="1">
      <c r="A909" s="68" t="s">
        <v>34</v>
      </c>
      <c r="B909" s="69">
        <v>2006</v>
      </c>
      <c r="C909" s="74">
        <v>209507628</v>
      </c>
      <c r="D909" s="74">
        <v>280702791</v>
      </c>
      <c r="E909" s="74">
        <v>888908754</v>
      </c>
      <c r="F909" s="60">
        <v>0</v>
      </c>
      <c r="G909" s="71">
        <f t="shared" si="40"/>
        <v>1379119173</v>
      </c>
      <c r="H909" s="60">
        <v>2159080</v>
      </c>
      <c r="I909" s="60" t="s">
        <v>402</v>
      </c>
    </row>
    <row r="910" spans="1:9" ht="13.5" customHeight="1">
      <c r="A910" s="68" t="s">
        <v>34</v>
      </c>
      <c r="B910" s="69">
        <v>2007</v>
      </c>
      <c r="C910" s="74">
        <v>225711099</v>
      </c>
      <c r="D910" s="74">
        <v>298272097</v>
      </c>
      <c r="E910" s="74">
        <v>928023397</v>
      </c>
      <c r="F910" s="74">
        <v>3487589</v>
      </c>
      <c r="G910" s="71">
        <f t="shared" ref="G910:G915" si="41">SUM(C910:F910)</f>
        <v>1455494182</v>
      </c>
      <c r="H910" s="60">
        <v>2347150</v>
      </c>
      <c r="I910" s="60" t="s">
        <v>402</v>
      </c>
    </row>
    <row r="911" spans="1:9" ht="13.5" customHeight="1">
      <c r="A911" s="68" t="s">
        <v>34</v>
      </c>
      <c r="B911" s="69">
        <v>2008</v>
      </c>
      <c r="C911" s="74">
        <v>236636267</v>
      </c>
      <c r="D911" s="74">
        <v>374229774</v>
      </c>
      <c r="E911" s="74">
        <v>981971991</v>
      </c>
      <c r="F911" s="74">
        <v>16014912</v>
      </c>
      <c r="G911" s="71">
        <f t="shared" si="41"/>
        <v>1608852944</v>
      </c>
      <c r="H911" s="60">
        <v>3311260</v>
      </c>
      <c r="I911" s="60" t="s">
        <v>402</v>
      </c>
    </row>
    <row r="912" spans="1:9" ht="13.5" customHeight="1">
      <c r="A912" s="68" t="s">
        <v>34</v>
      </c>
      <c r="B912" s="69">
        <v>2009</v>
      </c>
      <c r="C912" s="74">
        <v>263368693</v>
      </c>
      <c r="D912" s="74">
        <v>351655949</v>
      </c>
      <c r="E912" s="74">
        <v>1034529270</v>
      </c>
      <c r="F912" s="74">
        <v>12071423</v>
      </c>
      <c r="G912" s="71">
        <f t="shared" si="41"/>
        <v>1661625335</v>
      </c>
      <c r="H912" s="60">
        <v>2832478</v>
      </c>
      <c r="I912" s="60" t="s">
        <v>402</v>
      </c>
    </row>
    <row r="913" spans="1:9" ht="13.5" customHeight="1">
      <c r="A913" s="68" t="s">
        <v>34</v>
      </c>
      <c r="B913" s="69">
        <v>2010</v>
      </c>
      <c r="C913" s="74">
        <v>290074904</v>
      </c>
      <c r="D913" s="75">
        <v>341671299</v>
      </c>
      <c r="E913" s="74">
        <v>1134430726</v>
      </c>
      <c r="F913" s="74">
        <v>4889188</v>
      </c>
      <c r="G913" s="71">
        <f t="shared" si="41"/>
        <v>1771066117</v>
      </c>
      <c r="H913" s="60">
        <v>2590819</v>
      </c>
      <c r="I913" s="60" t="s">
        <v>402</v>
      </c>
    </row>
    <row r="914" spans="1:9" ht="13.5" customHeight="1">
      <c r="A914" s="68" t="s">
        <v>34</v>
      </c>
      <c r="B914" s="69">
        <v>2011</v>
      </c>
      <c r="C914" s="74">
        <v>303487585</v>
      </c>
      <c r="D914" s="75">
        <v>353538961</v>
      </c>
      <c r="E914" s="74">
        <v>1236899852</v>
      </c>
      <c r="F914" s="74">
        <v>7679570</v>
      </c>
      <c r="G914" s="71">
        <f t="shared" si="41"/>
        <v>1901605968</v>
      </c>
      <c r="H914" s="60">
        <v>3964662</v>
      </c>
      <c r="I914" s="60" t="s">
        <v>402</v>
      </c>
    </row>
    <row r="915" spans="1:9" ht="13.5" customHeight="1">
      <c r="A915" s="68" t="s">
        <v>34</v>
      </c>
      <c r="B915" s="69">
        <v>2012</v>
      </c>
      <c r="C915" s="74">
        <v>325718251</v>
      </c>
      <c r="D915" s="75">
        <v>359108037</v>
      </c>
      <c r="E915" s="74">
        <v>1337121150</v>
      </c>
      <c r="F915" s="74">
        <v>17652954</v>
      </c>
      <c r="G915" s="71">
        <f t="shared" si="41"/>
        <v>2039600392</v>
      </c>
      <c r="H915" s="60">
        <v>4207254</v>
      </c>
      <c r="I915" s="60" t="s">
        <v>402</v>
      </c>
    </row>
    <row r="916" spans="1:9">
      <c r="A916" s="68"/>
      <c r="C916" s="70"/>
      <c r="D916" s="70"/>
      <c r="E916" s="70"/>
      <c r="F916" s="70"/>
      <c r="G916" s="76"/>
      <c r="I916" s="72"/>
    </row>
    <row r="917" spans="1:9">
      <c r="A917" s="68" t="s">
        <v>35</v>
      </c>
      <c r="B917" s="69">
        <v>1988</v>
      </c>
      <c r="C917" s="70">
        <v>2534034513</v>
      </c>
      <c r="D917" s="70">
        <v>1736787192</v>
      </c>
      <c r="E917" s="70">
        <v>4989784981</v>
      </c>
      <c r="F917" s="70">
        <v>1042229723</v>
      </c>
      <c r="G917" s="71">
        <f>SUM(C917:F917)</f>
        <v>10302836409</v>
      </c>
      <c r="H917" s="60">
        <v>0</v>
      </c>
      <c r="I917" s="72"/>
    </row>
    <row r="918" spans="1:9">
      <c r="A918" s="68" t="s">
        <v>35</v>
      </c>
      <c r="B918" s="69">
        <v>1989</v>
      </c>
      <c r="C918" s="70">
        <v>2407743599</v>
      </c>
      <c r="D918" s="70">
        <v>1856477537</v>
      </c>
      <c r="E918" s="70">
        <v>3619642666</v>
      </c>
      <c r="F918" s="70">
        <v>1083026448</v>
      </c>
      <c r="G918" s="71">
        <f t="shared" ref="G918:G941" si="42">SUM(C918:F918)</f>
        <v>8966890250</v>
      </c>
      <c r="H918" s="60">
        <v>0</v>
      </c>
      <c r="I918" s="72"/>
    </row>
    <row r="919" spans="1:9">
      <c r="A919" s="68" t="s">
        <v>35</v>
      </c>
      <c r="B919" s="69">
        <v>1990</v>
      </c>
      <c r="C919" s="70">
        <v>2741981136</v>
      </c>
      <c r="D919" s="70">
        <v>2179135464.5999999</v>
      </c>
      <c r="E919" s="70">
        <v>3828721118</v>
      </c>
      <c r="F919" s="70">
        <v>1187795652</v>
      </c>
      <c r="G919" s="71">
        <f t="shared" si="42"/>
        <v>9937633370.6000004</v>
      </c>
      <c r="H919" s="60">
        <v>0</v>
      </c>
      <c r="I919" s="72"/>
    </row>
    <row r="920" spans="1:9">
      <c r="A920" s="68" t="s">
        <v>35</v>
      </c>
      <c r="B920" s="69">
        <v>1991</v>
      </c>
      <c r="C920" s="70">
        <v>2920332567</v>
      </c>
      <c r="D920" s="70">
        <v>1828524058</v>
      </c>
      <c r="E920" s="70">
        <v>3966484296</v>
      </c>
      <c r="F920" s="70">
        <v>1205698462</v>
      </c>
      <c r="G920" s="71">
        <f t="shared" si="42"/>
        <v>9921039383</v>
      </c>
      <c r="H920" s="60">
        <v>0</v>
      </c>
      <c r="I920" s="72"/>
    </row>
    <row r="921" spans="1:9">
      <c r="A921" s="68" t="s">
        <v>35</v>
      </c>
      <c r="B921" s="69">
        <v>1992</v>
      </c>
      <c r="C921" s="70">
        <v>3055029400</v>
      </c>
      <c r="D921" s="70">
        <v>1893658458.9200001</v>
      </c>
      <c r="E921" s="70">
        <v>4254594238</v>
      </c>
      <c r="F921" s="70">
        <v>956370309</v>
      </c>
      <c r="G921" s="71">
        <f t="shared" si="42"/>
        <v>10159652405.92</v>
      </c>
      <c r="H921" s="60">
        <v>0</v>
      </c>
      <c r="I921" s="72"/>
    </row>
    <row r="922" spans="1:9">
      <c r="A922" s="68" t="s">
        <v>35</v>
      </c>
      <c r="B922" s="69">
        <v>1993</v>
      </c>
      <c r="C922" s="70">
        <v>3987751884</v>
      </c>
      <c r="D922" s="70">
        <v>1716262992</v>
      </c>
      <c r="E922" s="70">
        <v>4446737088</v>
      </c>
      <c r="F922" s="70">
        <v>962654689</v>
      </c>
      <c r="G922" s="71">
        <f t="shared" si="42"/>
        <v>11113406653</v>
      </c>
      <c r="H922" s="60">
        <v>0</v>
      </c>
      <c r="I922" s="72"/>
    </row>
    <row r="923" spans="1:9">
      <c r="A923" s="68" t="s">
        <v>35</v>
      </c>
      <c r="B923" s="69">
        <v>1994</v>
      </c>
      <c r="C923" s="70">
        <v>3819936218</v>
      </c>
      <c r="D923" s="70">
        <v>2179499942</v>
      </c>
      <c r="E923" s="70">
        <v>4258140845</v>
      </c>
      <c r="F923" s="70">
        <v>646454967</v>
      </c>
      <c r="G923" s="71">
        <f t="shared" si="42"/>
        <v>10904031972</v>
      </c>
      <c r="H923" s="60">
        <v>0</v>
      </c>
      <c r="I923" s="72"/>
    </row>
    <row r="924" spans="1:9">
      <c r="A924" s="68" t="s">
        <v>35</v>
      </c>
      <c r="B924" s="69">
        <v>1995</v>
      </c>
      <c r="C924" s="70">
        <v>4118333150</v>
      </c>
      <c r="D924" s="70">
        <v>2336864381</v>
      </c>
      <c r="E924" s="70">
        <v>4489683366</v>
      </c>
      <c r="F924" s="70">
        <v>819651829</v>
      </c>
      <c r="G924" s="71">
        <f t="shared" si="42"/>
        <v>11764532726</v>
      </c>
      <c r="H924" s="60">
        <v>0</v>
      </c>
      <c r="I924" s="72"/>
    </row>
    <row r="925" spans="1:9">
      <c r="A925" s="68" t="s">
        <v>35</v>
      </c>
      <c r="B925" s="69">
        <v>1996</v>
      </c>
      <c r="C925" s="70">
        <v>3975047154</v>
      </c>
      <c r="D925" s="70">
        <v>1909547932</v>
      </c>
      <c r="E925" s="70">
        <v>5602533542</v>
      </c>
      <c r="F925" s="70">
        <v>551809112</v>
      </c>
      <c r="G925" s="71">
        <f t="shared" si="42"/>
        <v>12038937740</v>
      </c>
      <c r="H925" s="60">
        <v>0</v>
      </c>
      <c r="I925" s="72"/>
    </row>
    <row r="926" spans="1:9">
      <c r="A926" s="68" t="s">
        <v>35</v>
      </c>
      <c r="B926" s="69">
        <v>1997</v>
      </c>
      <c r="C926" s="70">
        <v>4104119628</v>
      </c>
      <c r="D926" s="70">
        <v>1912971877</v>
      </c>
      <c r="E926" s="70">
        <v>5500310888</v>
      </c>
      <c r="F926" s="70">
        <v>727195937</v>
      </c>
      <c r="G926" s="71">
        <f t="shared" si="42"/>
        <v>12244598330</v>
      </c>
      <c r="H926" s="60">
        <v>0</v>
      </c>
      <c r="I926" s="72"/>
    </row>
    <row r="927" spans="1:9">
      <c r="A927" s="68" t="s">
        <v>35</v>
      </c>
      <c r="B927" s="69">
        <v>1998</v>
      </c>
      <c r="C927" s="70">
        <v>3760213838</v>
      </c>
      <c r="D927" s="70">
        <v>2023173180</v>
      </c>
      <c r="E927" s="70">
        <v>5903365925</v>
      </c>
      <c r="F927" s="70">
        <v>558994105</v>
      </c>
      <c r="G927" s="71">
        <f t="shared" si="42"/>
        <v>12245747048</v>
      </c>
      <c r="H927" s="60">
        <v>0</v>
      </c>
      <c r="I927" s="72"/>
    </row>
    <row r="928" spans="1:9">
      <c r="A928" s="68" t="s">
        <v>35</v>
      </c>
      <c r="B928" s="69">
        <v>1999</v>
      </c>
      <c r="C928" s="70">
        <v>4183454778</v>
      </c>
      <c r="D928" s="70">
        <v>2853879537</v>
      </c>
      <c r="E928" s="70">
        <v>6488902076</v>
      </c>
      <c r="F928" s="70">
        <v>551307354</v>
      </c>
      <c r="G928" s="71">
        <f t="shared" si="42"/>
        <v>14077543745</v>
      </c>
      <c r="H928" s="60">
        <v>0</v>
      </c>
      <c r="I928" s="72"/>
    </row>
    <row r="929" spans="1:9">
      <c r="A929" s="68" t="s">
        <v>35</v>
      </c>
      <c r="B929" s="69">
        <v>2000</v>
      </c>
      <c r="C929" s="70">
        <v>3779121377</v>
      </c>
      <c r="D929" s="70">
        <v>3602435917</v>
      </c>
      <c r="E929" s="70">
        <v>7043854647</v>
      </c>
      <c r="F929" s="70">
        <v>505227072</v>
      </c>
      <c r="G929" s="71">
        <f t="shared" si="42"/>
        <v>14930639013</v>
      </c>
      <c r="H929" s="60">
        <v>0</v>
      </c>
      <c r="I929" s="72"/>
    </row>
    <row r="930" spans="1:9">
      <c r="A930" s="68" t="s">
        <v>35</v>
      </c>
      <c r="B930" s="69">
        <v>2001</v>
      </c>
      <c r="C930" s="70">
        <v>3622186707</v>
      </c>
      <c r="D930" s="70">
        <v>4334730583.4300003</v>
      </c>
      <c r="E930" s="70">
        <v>7566267097</v>
      </c>
      <c r="F930" s="70">
        <v>594923355</v>
      </c>
      <c r="G930" s="71">
        <f t="shared" si="42"/>
        <v>16118107742.43</v>
      </c>
      <c r="H930" s="60">
        <v>0</v>
      </c>
      <c r="I930" s="72"/>
    </row>
    <row r="931" spans="1:9">
      <c r="A931" s="68" t="s">
        <v>35</v>
      </c>
      <c r="B931" s="69">
        <v>2002</v>
      </c>
      <c r="C931" s="70">
        <v>3707075429</v>
      </c>
      <c r="D931" s="70">
        <v>5874525077</v>
      </c>
      <c r="E931" s="70">
        <v>8242618933</v>
      </c>
      <c r="F931" s="70">
        <v>767287844</v>
      </c>
      <c r="G931" s="71">
        <f t="shared" si="42"/>
        <v>18591507283</v>
      </c>
      <c r="H931" s="60">
        <v>0</v>
      </c>
      <c r="I931" s="72"/>
    </row>
    <row r="932" spans="1:9">
      <c r="A932" s="68" t="s">
        <v>35</v>
      </c>
      <c r="B932" s="69">
        <v>2003</v>
      </c>
      <c r="C932" s="73">
        <v>3719882283</v>
      </c>
      <c r="D932" s="73">
        <v>5246506175</v>
      </c>
      <c r="E932" s="73">
        <v>8587872327</v>
      </c>
      <c r="F932" s="73">
        <v>926264454</v>
      </c>
      <c r="G932" s="71">
        <f t="shared" si="42"/>
        <v>18480525239</v>
      </c>
      <c r="H932" s="60">
        <v>0</v>
      </c>
      <c r="I932" s="72"/>
    </row>
    <row r="933" spans="1:9">
      <c r="A933" s="68" t="s">
        <v>35</v>
      </c>
      <c r="B933" s="69">
        <v>2004</v>
      </c>
      <c r="C933" s="73">
        <v>3862254207</v>
      </c>
      <c r="D933" s="73">
        <v>4987695103</v>
      </c>
      <c r="E933" s="73">
        <v>8738796050</v>
      </c>
      <c r="F933" s="73">
        <v>958314758</v>
      </c>
      <c r="G933" s="71">
        <f t="shared" si="42"/>
        <v>18547060118</v>
      </c>
      <c r="H933" s="60">
        <v>0</v>
      </c>
      <c r="I933" s="72"/>
    </row>
    <row r="934" spans="1:9">
      <c r="A934" s="68" t="s">
        <v>35</v>
      </c>
      <c r="B934" s="69">
        <v>2005</v>
      </c>
      <c r="C934" s="73">
        <v>3864828736</v>
      </c>
      <c r="D934" s="73">
        <v>4735825309</v>
      </c>
      <c r="E934" s="73">
        <v>9482567740.5400009</v>
      </c>
      <c r="F934" s="73">
        <v>765735371</v>
      </c>
      <c r="G934" s="71">
        <f t="shared" si="42"/>
        <v>18848957156.540001</v>
      </c>
      <c r="H934" s="60">
        <v>0</v>
      </c>
      <c r="I934" s="72"/>
    </row>
    <row r="935" spans="1:9">
      <c r="A935" s="68" t="s">
        <v>35</v>
      </c>
      <c r="B935" s="69">
        <v>2006</v>
      </c>
      <c r="C935" s="74">
        <v>3984767132</v>
      </c>
      <c r="D935" s="74">
        <v>4919614463</v>
      </c>
      <c r="E935" s="74">
        <v>10312210172</v>
      </c>
      <c r="F935" s="74">
        <v>923440738</v>
      </c>
      <c r="G935" s="71">
        <f t="shared" si="42"/>
        <v>20140032505</v>
      </c>
      <c r="H935" s="60">
        <v>0</v>
      </c>
      <c r="I935" s="72"/>
    </row>
    <row r="936" spans="1:9">
      <c r="A936" s="68" t="s">
        <v>35</v>
      </c>
      <c r="B936" s="69">
        <v>2007</v>
      </c>
      <c r="C936" s="74">
        <v>4338276521</v>
      </c>
      <c r="D936" s="74">
        <v>4669275115</v>
      </c>
      <c r="E936" s="74">
        <v>12159708876</v>
      </c>
      <c r="F936" s="74">
        <v>1721027001</v>
      </c>
      <c r="G936" s="71">
        <f t="shared" si="42"/>
        <v>22888287513</v>
      </c>
      <c r="H936" s="60">
        <v>0</v>
      </c>
      <c r="I936" s="72"/>
    </row>
    <row r="937" spans="1:9">
      <c r="A937" s="68" t="s">
        <v>35</v>
      </c>
      <c r="B937" s="69">
        <v>2008</v>
      </c>
      <c r="C937" s="74">
        <v>4205635348</v>
      </c>
      <c r="D937" s="74">
        <v>6375631631</v>
      </c>
      <c r="E937" s="74">
        <v>13636581477</v>
      </c>
      <c r="F937" s="74">
        <v>1117437730</v>
      </c>
      <c r="G937" s="71">
        <f t="shared" si="42"/>
        <v>25335286186</v>
      </c>
      <c r="H937" s="60">
        <v>0</v>
      </c>
      <c r="I937" s="72"/>
    </row>
    <row r="938" spans="1:9">
      <c r="A938" s="68" t="s">
        <v>35</v>
      </c>
      <c r="B938" s="69">
        <v>2009</v>
      </c>
      <c r="C938" s="74">
        <v>4377338672</v>
      </c>
      <c r="D938" s="74">
        <v>6768188993</v>
      </c>
      <c r="E938" s="74">
        <v>12979757689</v>
      </c>
      <c r="F938" s="74">
        <v>1032084271</v>
      </c>
      <c r="G938" s="71">
        <f t="shared" si="42"/>
        <v>25157369625</v>
      </c>
      <c r="H938" s="60">
        <v>0</v>
      </c>
      <c r="I938" s="72"/>
    </row>
    <row r="939" spans="1:9">
      <c r="A939" s="68" t="s">
        <v>35</v>
      </c>
      <c r="B939" s="69">
        <v>2010</v>
      </c>
      <c r="C939" s="74">
        <v>4493941797</v>
      </c>
      <c r="D939" s="74">
        <v>5341130707</v>
      </c>
      <c r="E939" s="74">
        <v>12535711315</v>
      </c>
      <c r="F939" s="74">
        <v>959268409</v>
      </c>
      <c r="G939" s="71">
        <f t="shared" si="42"/>
        <v>23330052228</v>
      </c>
      <c r="H939" s="60">
        <v>0</v>
      </c>
      <c r="I939" s="72"/>
    </row>
    <row r="940" spans="1:9">
      <c r="A940" s="68" t="s">
        <v>35</v>
      </c>
      <c r="B940" s="69">
        <v>2011</v>
      </c>
      <c r="C940" s="74">
        <v>4698775431</v>
      </c>
      <c r="D940" s="74">
        <v>5152996658</v>
      </c>
      <c r="E940" s="74">
        <v>12763839132.32</v>
      </c>
      <c r="F940" s="74">
        <v>921751361</v>
      </c>
      <c r="G940" s="71">
        <f t="shared" si="42"/>
        <v>23537362582.32</v>
      </c>
      <c r="H940" s="60">
        <v>0</v>
      </c>
      <c r="I940" s="72"/>
    </row>
    <row r="941" spans="1:9">
      <c r="A941" s="68" t="s">
        <v>35</v>
      </c>
      <c r="B941" s="69">
        <v>2012</v>
      </c>
      <c r="C941" s="74">
        <v>4824912735</v>
      </c>
      <c r="D941" s="74">
        <v>6747281598</v>
      </c>
      <c r="E941" s="74">
        <v>13241635224</v>
      </c>
      <c r="F941" s="74">
        <v>1058746791</v>
      </c>
      <c r="G941" s="71">
        <f t="shared" si="42"/>
        <v>25872576348</v>
      </c>
      <c r="H941" s="60">
        <v>0</v>
      </c>
      <c r="I941" s="72"/>
    </row>
    <row r="942" spans="1:9">
      <c r="A942" s="68"/>
      <c r="C942" s="70"/>
      <c r="D942" s="70"/>
      <c r="E942" s="70"/>
      <c r="F942" s="70"/>
      <c r="G942" s="76"/>
      <c r="I942" s="72"/>
    </row>
    <row r="943" spans="1:9">
      <c r="A943" s="68" t="s">
        <v>36</v>
      </c>
      <c r="B943" s="69">
        <v>1988</v>
      </c>
      <c r="C943" s="70">
        <v>616592071</v>
      </c>
      <c r="D943" s="70">
        <v>419483946</v>
      </c>
      <c r="E943" s="70">
        <v>642145110</v>
      </c>
      <c r="F943" s="70">
        <v>0</v>
      </c>
      <c r="G943" s="71">
        <f>SUM(C943:F943)</f>
        <v>1678221127</v>
      </c>
      <c r="H943" s="60">
        <v>0</v>
      </c>
      <c r="I943" s="72"/>
    </row>
    <row r="944" spans="1:9">
      <c r="A944" s="68" t="s">
        <v>36</v>
      </c>
      <c r="B944" s="69">
        <v>1989</v>
      </c>
      <c r="C944" s="70">
        <v>588134826</v>
      </c>
      <c r="D944" s="70">
        <v>444775606</v>
      </c>
      <c r="E944" s="70">
        <v>698963531</v>
      </c>
      <c r="F944" s="70">
        <v>0</v>
      </c>
      <c r="G944" s="71">
        <f t="shared" ref="G944:G967" si="43">SUM(C944:F944)</f>
        <v>1731873963</v>
      </c>
      <c r="H944" s="60">
        <v>0</v>
      </c>
      <c r="I944" s="72"/>
    </row>
    <row r="945" spans="1:9">
      <c r="A945" s="68" t="s">
        <v>36</v>
      </c>
      <c r="B945" s="69">
        <v>1990</v>
      </c>
      <c r="C945" s="70">
        <v>612296761</v>
      </c>
      <c r="D945" s="70">
        <v>543871818.07999992</v>
      </c>
      <c r="E945" s="70">
        <v>733415184</v>
      </c>
      <c r="F945" s="70">
        <v>0</v>
      </c>
      <c r="G945" s="71">
        <f t="shared" si="43"/>
        <v>1889583763.0799999</v>
      </c>
      <c r="H945" s="60">
        <v>0</v>
      </c>
      <c r="I945" s="72"/>
    </row>
    <row r="946" spans="1:9">
      <c r="A946" s="68" t="s">
        <v>36</v>
      </c>
      <c r="B946" s="69">
        <v>1991</v>
      </c>
      <c r="C946" s="70">
        <v>668388118</v>
      </c>
      <c r="D946" s="70">
        <v>578791425</v>
      </c>
      <c r="E946" s="70">
        <v>784259157</v>
      </c>
      <c r="F946" s="70">
        <v>0</v>
      </c>
      <c r="G946" s="71">
        <f t="shared" si="43"/>
        <v>2031438700</v>
      </c>
      <c r="H946" s="60">
        <v>0</v>
      </c>
      <c r="I946" s="72"/>
    </row>
    <row r="947" spans="1:9">
      <c r="A947" s="68" t="s">
        <v>36</v>
      </c>
      <c r="B947" s="69">
        <v>1992</v>
      </c>
      <c r="C947" s="70">
        <v>707696169</v>
      </c>
      <c r="D947" s="70">
        <v>629789857.84000003</v>
      </c>
      <c r="E947" s="70">
        <v>845953596</v>
      </c>
      <c r="F947" s="70">
        <v>0</v>
      </c>
      <c r="G947" s="71">
        <f t="shared" si="43"/>
        <v>2183439622.8400002</v>
      </c>
      <c r="H947" s="60">
        <v>0</v>
      </c>
      <c r="I947" s="72"/>
    </row>
    <row r="948" spans="1:9">
      <c r="A948" s="68" t="s">
        <v>36</v>
      </c>
      <c r="B948" s="69">
        <v>1993</v>
      </c>
      <c r="C948" s="70">
        <v>724875640</v>
      </c>
      <c r="D948" s="70">
        <v>536701938</v>
      </c>
      <c r="E948" s="70">
        <v>1071589567</v>
      </c>
      <c r="F948" s="70">
        <v>0</v>
      </c>
      <c r="G948" s="71">
        <f t="shared" si="43"/>
        <v>2333167145</v>
      </c>
      <c r="H948" s="60">
        <v>0</v>
      </c>
      <c r="I948" s="72"/>
    </row>
    <row r="949" spans="1:9">
      <c r="A949" s="68" t="s">
        <v>36</v>
      </c>
      <c r="B949" s="69">
        <v>1994</v>
      </c>
      <c r="C949" s="70">
        <v>792088110</v>
      </c>
      <c r="D949" s="70">
        <v>582260416</v>
      </c>
      <c r="E949" s="70">
        <v>1080525188</v>
      </c>
      <c r="F949" s="70">
        <v>0</v>
      </c>
      <c r="G949" s="71">
        <f t="shared" si="43"/>
        <v>2454873714</v>
      </c>
      <c r="H949" s="60">
        <v>0</v>
      </c>
      <c r="I949" s="72"/>
    </row>
    <row r="950" spans="1:9">
      <c r="A950" s="68" t="s">
        <v>36</v>
      </c>
      <c r="B950" s="69">
        <v>1995</v>
      </c>
      <c r="C950" s="70">
        <v>814360950</v>
      </c>
      <c r="D950" s="70">
        <v>620410943</v>
      </c>
      <c r="E950" s="70">
        <v>1125179250</v>
      </c>
      <c r="F950" s="70">
        <v>0</v>
      </c>
      <c r="G950" s="71">
        <f t="shared" si="43"/>
        <v>2559951143</v>
      </c>
      <c r="H950" s="60">
        <v>0</v>
      </c>
      <c r="I950" s="72"/>
    </row>
    <row r="951" spans="1:9">
      <c r="A951" s="68" t="s">
        <v>36</v>
      </c>
      <c r="B951" s="69">
        <v>1996</v>
      </c>
      <c r="C951" s="70">
        <v>789424307</v>
      </c>
      <c r="D951" s="70">
        <v>490109556</v>
      </c>
      <c r="E951" s="70">
        <v>1184654949</v>
      </c>
      <c r="F951" s="70">
        <v>0</v>
      </c>
      <c r="G951" s="71">
        <f t="shared" si="43"/>
        <v>2464188812</v>
      </c>
      <c r="H951" s="60">
        <v>0</v>
      </c>
      <c r="I951" s="72"/>
    </row>
    <row r="952" spans="1:9">
      <c r="A952" s="68" t="s">
        <v>36</v>
      </c>
      <c r="B952" s="69">
        <v>1997</v>
      </c>
      <c r="C952" s="70">
        <v>770220072</v>
      </c>
      <c r="D952" s="70">
        <v>494871326</v>
      </c>
      <c r="E952" s="70">
        <v>1244437896</v>
      </c>
      <c r="F952" s="70">
        <v>0</v>
      </c>
      <c r="G952" s="71">
        <f t="shared" si="43"/>
        <v>2509529294</v>
      </c>
      <c r="H952" s="60">
        <v>0</v>
      </c>
      <c r="I952" s="72"/>
    </row>
    <row r="953" spans="1:9">
      <c r="A953" s="68" t="s">
        <v>36</v>
      </c>
      <c r="B953" s="69">
        <v>1998</v>
      </c>
      <c r="C953" s="70">
        <v>776113533</v>
      </c>
      <c r="D953" s="70">
        <v>475026538</v>
      </c>
      <c r="E953" s="70">
        <v>1310866836</v>
      </c>
      <c r="F953" s="70">
        <v>0</v>
      </c>
      <c r="G953" s="71">
        <f t="shared" si="43"/>
        <v>2562006907</v>
      </c>
      <c r="H953" s="60">
        <v>0</v>
      </c>
      <c r="I953" s="72"/>
    </row>
    <row r="954" spans="1:9">
      <c r="A954" s="68" t="s">
        <v>36</v>
      </c>
      <c r="B954" s="69">
        <v>1999</v>
      </c>
      <c r="C954" s="70">
        <v>780537634</v>
      </c>
      <c r="D954" s="70">
        <v>618103240</v>
      </c>
      <c r="E954" s="70">
        <v>1300192293</v>
      </c>
      <c r="F954" s="70">
        <v>0</v>
      </c>
      <c r="G954" s="71">
        <f t="shared" si="43"/>
        <v>2698833167</v>
      </c>
      <c r="H954" s="60">
        <v>0</v>
      </c>
      <c r="I954" s="72"/>
    </row>
    <row r="955" spans="1:9">
      <c r="A955" s="68" t="s">
        <v>36</v>
      </c>
      <c r="B955" s="69">
        <v>2000</v>
      </c>
      <c r="C955" s="70">
        <v>811989165</v>
      </c>
      <c r="D955" s="70">
        <v>698871483</v>
      </c>
      <c r="E955" s="70">
        <v>1371204007</v>
      </c>
      <c r="F955" s="70">
        <v>0</v>
      </c>
      <c r="G955" s="71">
        <f t="shared" si="43"/>
        <v>2882064655</v>
      </c>
      <c r="H955" s="60">
        <v>0</v>
      </c>
      <c r="I955" s="72"/>
    </row>
    <row r="956" spans="1:9">
      <c r="A956" s="68" t="s">
        <v>36</v>
      </c>
      <c r="B956" s="69">
        <v>2001</v>
      </c>
      <c r="C956" s="70">
        <v>876872355</v>
      </c>
      <c r="D956" s="70">
        <v>984869537</v>
      </c>
      <c r="E956" s="70">
        <v>1495429443</v>
      </c>
      <c r="F956" s="70">
        <v>0</v>
      </c>
      <c r="G956" s="71">
        <f t="shared" si="43"/>
        <v>3357171335</v>
      </c>
      <c r="H956" s="60">
        <v>0</v>
      </c>
      <c r="I956" s="72"/>
    </row>
    <row r="957" spans="1:9">
      <c r="A957" s="68" t="s">
        <v>36</v>
      </c>
      <c r="B957" s="69">
        <v>2002</v>
      </c>
      <c r="C957" s="70">
        <v>866788664</v>
      </c>
      <c r="D957" s="70">
        <v>1205522724</v>
      </c>
      <c r="E957" s="70">
        <v>1584870053</v>
      </c>
      <c r="F957" s="70">
        <v>0</v>
      </c>
      <c r="G957" s="71">
        <f t="shared" si="43"/>
        <v>3657181441</v>
      </c>
      <c r="H957" s="60">
        <v>0</v>
      </c>
      <c r="I957" s="72"/>
    </row>
    <row r="958" spans="1:9">
      <c r="A958" s="68" t="s">
        <v>36</v>
      </c>
      <c r="B958" s="69">
        <v>2003</v>
      </c>
      <c r="C958" s="73">
        <v>911263971</v>
      </c>
      <c r="D958" s="73">
        <v>1120068031</v>
      </c>
      <c r="E958" s="73">
        <v>1727633006</v>
      </c>
      <c r="F958" s="70">
        <v>0</v>
      </c>
      <c r="G958" s="71">
        <f t="shared" si="43"/>
        <v>3758965008</v>
      </c>
      <c r="H958" s="60">
        <v>0</v>
      </c>
      <c r="I958" s="72"/>
    </row>
    <row r="959" spans="1:9">
      <c r="A959" s="68" t="s">
        <v>36</v>
      </c>
      <c r="B959" s="69">
        <v>2004</v>
      </c>
      <c r="C959" s="73">
        <v>931033557</v>
      </c>
      <c r="D959" s="73">
        <v>1062686358</v>
      </c>
      <c r="E959" s="73">
        <v>1831615910</v>
      </c>
      <c r="F959" s="70">
        <v>0</v>
      </c>
      <c r="G959" s="71">
        <f t="shared" si="43"/>
        <v>3825335825</v>
      </c>
      <c r="H959" s="60">
        <v>0</v>
      </c>
      <c r="I959" s="72"/>
    </row>
    <row r="960" spans="1:9">
      <c r="A960" s="68" t="s">
        <v>36</v>
      </c>
      <c r="B960" s="69">
        <v>2005</v>
      </c>
      <c r="C960" s="73">
        <v>926444980</v>
      </c>
      <c r="D960" s="73">
        <v>987551770</v>
      </c>
      <c r="E960" s="73">
        <v>1980212670.6599901</v>
      </c>
      <c r="F960" s="70">
        <v>0</v>
      </c>
      <c r="G960" s="71">
        <f t="shared" si="43"/>
        <v>3894209420.6599903</v>
      </c>
      <c r="H960" s="60">
        <v>0</v>
      </c>
      <c r="I960" s="72"/>
    </row>
    <row r="961" spans="1:9">
      <c r="A961" s="68" t="s">
        <v>36</v>
      </c>
      <c r="B961" s="69">
        <v>2006</v>
      </c>
      <c r="C961" s="74">
        <v>1060841763</v>
      </c>
      <c r="D961" s="74">
        <v>1063511980</v>
      </c>
      <c r="E961" s="74">
        <v>2171467297</v>
      </c>
      <c r="F961" s="74">
        <v>0</v>
      </c>
      <c r="G961" s="71">
        <f t="shared" si="43"/>
        <v>4295821040</v>
      </c>
      <c r="H961" s="60">
        <v>0</v>
      </c>
      <c r="I961" s="72"/>
    </row>
    <row r="962" spans="1:9">
      <c r="A962" s="68" t="s">
        <v>36</v>
      </c>
      <c r="B962" s="69">
        <v>2007</v>
      </c>
      <c r="C962" s="74">
        <v>1097782359</v>
      </c>
      <c r="D962" s="74">
        <v>1017178609</v>
      </c>
      <c r="E962" s="74">
        <v>2512947694</v>
      </c>
      <c r="F962" s="74">
        <v>0</v>
      </c>
      <c r="G962" s="71">
        <f t="shared" si="43"/>
        <v>4627908662</v>
      </c>
      <c r="H962" s="60">
        <v>0</v>
      </c>
      <c r="I962" s="72"/>
    </row>
    <row r="963" spans="1:9">
      <c r="A963" s="68" t="s">
        <v>36</v>
      </c>
      <c r="B963" s="69">
        <v>2008</v>
      </c>
      <c r="C963" s="74">
        <v>1136588750</v>
      </c>
      <c r="D963" s="74">
        <v>1491541386</v>
      </c>
      <c r="E963" s="74">
        <v>2650865096</v>
      </c>
      <c r="F963" s="74">
        <v>0</v>
      </c>
      <c r="G963" s="71">
        <f t="shared" si="43"/>
        <v>5278995232</v>
      </c>
      <c r="H963" s="60">
        <v>0</v>
      </c>
      <c r="I963" s="72"/>
    </row>
    <row r="964" spans="1:9">
      <c r="A964" s="68" t="s">
        <v>36</v>
      </c>
      <c r="B964" s="69">
        <v>2009</v>
      </c>
      <c r="C964" s="74">
        <v>1197855066</v>
      </c>
      <c r="D964" s="74">
        <v>1370248919</v>
      </c>
      <c r="E964" s="74">
        <v>2812704895</v>
      </c>
      <c r="F964" s="74">
        <v>0</v>
      </c>
      <c r="G964" s="71">
        <f t="shared" si="43"/>
        <v>5380808880</v>
      </c>
      <c r="H964" s="60">
        <v>0</v>
      </c>
      <c r="I964" s="72"/>
    </row>
    <row r="965" spans="1:9">
      <c r="A965" s="68" t="s">
        <v>36</v>
      </c>
      <c r="B965" s="69">
        <v>2010</v>
      </c>
      <c r="C965" s="74">
        <v>1265817967</v>
      </c>
      <c r="D965" s="74">
        <v>1189363350</v>
      </c>
      <c r="E965" s="74">
        <v>2990023534</v>
      </c>
      <c r="F965" s="74">
        <v>0</v>
      </c>
      <c r="G965" s="71">
        <f t="shared" si="43"/>
        <v>5445204851</v>
      </c>
      <c r="H965" s="60">
        <v>0</v>
      </c>
      <c r="I965" s="72"/>
    </row>
    <row r="966" spans="1:9">
      <c r="A966" s="68" t="s">
        <v>36</v>
      </c>
      <c r="B966" s="69">
        <v>2011</v>
      </c>
      <c r="C966" s="74">
        <v>1281469359</v>
      </c>
      <c r="D966" s="74">
        <v>1162870153</v>
      </c>
      <c r="E966" s="74">
        <v>2993867350.4099998</v>
      </c>
      <c r="F966" s="74">
        <v>0</v>
      </c>
      <c r="G966" s="71">
        <f t="shared" si="43"/>
        <v>5438206862.4099998</v>
      </c>
      <c r="H966" s="60">
        <v>0</v>
      </c>
      <c r="I966" s="72"/>
    </row>
    <row r="967" spans="1:9">
      <c r="A967" s="68" t="s">
        <v>36</v>
      </c>
      <c r="B967" s="69">
        <v>2012</v>
      </c>
      <c r="C967" s="74">
        <v>1324959076</v>
      </c>
      <c r="D967" s="74">
        <v>1368007325</v>
      </c>
      <c r="E967" s="74">
        <v>2985855018</v>
      </c>
      <c r="F967" s="74">
        <v>0</v>
      </c>
      <c r="G967" s="71">
        <f t="shared" si="43"/>
        <v>5678821419</v>
      </c>
      <c r="H967" s="60">
        <v>0</v>
      </c>
      <c r="I967" s="72"/>
    </row>
    <row r="968" spans="1:9">
      <c r="A968" s="68"/>
      <c r="C968" s="70"/>
      <c r="D968" s="70"/>
      <c r="E968" s="70"/>
      <c r="F968" s="70"/>
      <c r="G968" s="76"/>
      <c r="I968" s="72"/>
    </row>
    <row r="969" spans="1:9">
      <c r="A969" s="68" t="s">
        <v>37</v>
      </c>
      <c r="B969" s="69">
        <v>1988</v>
      </c>
      <c r="C969" s="70">
        <v>506312289</v>
      </c>
      <c r="D969" s="70">
        <v>895696039</v>
      </c>
      <c r="E969" s="70">
        <v>428769940</v>
      </c>
      <c r="F969" s="70">
        <v>0</v>
      </c>
      <c r="G969" s="71">
        <f>SUM(C969:F969)</f>
        <v>1830778268</v>
      </c>
      <c r="H969" s="60">
        <v>0</v>
      </c>
      <c r="I969" s="72"/>
    </row>
    <row r="970" spans="1:9">
      <c r="A970" s="68" t="s">
        <v>37</v>
      </c>
      <c r="B970" s="69">
        <v>1989</v>
      </c>
      <c r="C970" s="70">
        <v>514579970</v>
      </c>
      <c r="D970" s="70">
        <v>1030798115</v>
      </c>
      <c r="E970" s="70">
        <v>476923224</v>
      </c>
      <c r="F970" s="70">
        <v>0</v>
      </c>
      <c r="G970" s="71">
        <f t="shared" ref="G970:G993" si="44">SUM(C970:F970)</f>
        <v>2022301309</v>
      </c>
      <c r="H970" s="60">
        <v>0</v>
      </c>
      <c r="I970" s="72"/>
    </row>
    <row r="971" spans="1:9">
      <c r="A971" s="68" t="s">
        <v>37</v>
      </c>
      <c r="B971" s="69">
        <v>1990</v>
      </c>
      <c r="C971" s="70">
        <v>537896369</v>
      </c>
      <c r="D971" s="70">
        <v>937962526.03999996</v>
      </c>
      <c r="E971" s="70">
        <v>544414811</v>
      </c>
      <c r="F971" s="70">
        <v>0</v>
      </c>
      <c r="G971" s="71">
        <f t="shared" si="44"/>
        <v>2020273706.04</v>
      </c>
      <c r="H971" s="60">
        <v>0</v>
      </c>
      <c r="I971" s="72"/>
    </row>
    <row r="972" spans="1:9">
      <c r="A972" s="68" t="s">
        <v>37</v>
      </c>
      <c r="B972" s="69">
        <v>1991</v>
      </c>
      <c r="C972" s="70">
        <v>567228111</v>
      </c>
      <c r="D972" s="70">
        <v>830408324</v>
      </c>
      <c r="E972" s="70">
        <v>555223454</v>
      </c>
      <c r="F972" s="70">
        <v>260045972</v>
      </c>
      <c r="G972" s="71">
        <f t="shared" si="44"/>
        <v>2212905861</v>
      </c>
      <c r="H972" s="60">
        <v>0</v>
      </c>
      <c r="I972" s="72"/>
    </row>
    <row r="973" spans="1:9">
      <c r="A973" s="68" t="s">
        <v>37</v>
      </c>
      <c r="B973" s="69">
        <v>1992</v>
      </c>
      <c r="C973" s="70">
        <v>596415790</v>
      </c>
      <c r="D973" s="70">
        <v>812673519.63999999</v>
      </c>
      <c r="E973" s="70">
        <v>627877935</v>
      </c>
      <c r="F973" s="70">
        <v>281849324</v>
      </c>
      <c r="G973" s="71">
        <f t="shared" si="44"/>
        <v>2318816568.6399999</v>
      </c>
      <c r="H973" s="60">
        <v>0</v>
      </c>
      <c r="I973" s="72"/>
    </row>
    <row r="974" spans="1:9">
      <c r="A974" s="68" t="s">
        <v>37</v>
      </c>
      <c r="B974" s="69">
        <v>1993</v>
      </c>
      <c r="C974" s="70">
        <v>622685909</v>
      </c>
      <c r="D974" s="70">
        <v>696695276</v>
      </c>
      <c r="E974" s="70">
        <v>582601955</v>
      </c>
      <c r="F974" s="70">
        <v>192373597</v>
      </c>
      <c r="G974" s="71">
        <f t="shared" si="44"/>
        <v>2094356737</v>
      </c>
      <c r="H974" s="60">
        <v>0</v>
      </c>
      <c r="I974" s="72"/>
    </row>
    <row r="975" spans="1:9">
      <c r="A975" s="68" t="s">
        <v>37</v>
      </c>
      <c r="B975" s="69">
        <v>1994</v>
      </c>
      <c r="C975" s="70">
        <v>697121068</v>
      </c>
      <c r="D975" s="70">
        <v>925325110</v>
      </c>
      <c r="E975" s="70">
        <v>569074748</v>
      </c>
      <c r="F975" s="70">
        <v>152049491</v>
      </c>
      <c r="G975" s="71">
        <f t="shared" si="44"/>
        <v>2343570417</v>
      </c>
      <c r="H975" s="60">
        <v>0</v>
      </c>
      <c r="I975" s="72"/>
    </row>
    <row r="976" spans="1:9">
      <c r="A976" s="68" t="s">
        <v>37</v>
      </c>
      <c r="B976" s="69">
        <v>1995</v>
      </c>
      <c r="C976" s="70">
        <v>714798506</v>
      </c>
      <c r="D976" s="70">
        <v>914040453</v>
      </c>
      <c r="E976" s="70">
        <v>613797359</v>
      </c>
      <c r="F976" s="70">
        <v>60386398</v>
      </c>
      <c r="G976" s="71">
        <f t="shared" si="44"/>
        <v>2303022716</v>
      </c>
      <c r="H976" s="60">
        <v>0</v>
      </c>
      <c r="I976" s="72"/>
    </row>
    <row r="977" spans="1:9">
      <c r="A977" s="68" t="s">
        <v>37</v>
      </c>
      <c r="B977" s="69">
        <v>1996</v>
      </c>
      <c r="C977" s="70">
        <v>755357432</v>
      </c>
      <c r="D977" s="70">
        <v>715264307</v>
      </c>
      <c r="E977" s="70">
        <v>654376965</v>
      </c>
      <c r="F977" s="70">
        <v>62180671</v>
      </c>
      <c r="G977" s="71">
        <f t="shared" si="44"/>
        <v>2187179375</v>
      </c>
      <c r="H977" s="60">
        <v>0</v>
      </c>
      <c r="I977" s="72"/>
    </row>
    <row r="978" spans="1:9">
      <c r="A978" s="68" t="s">
        <v>37</v>
      </c>
      <c r="B978" s="69">
        <v>1997</v>
      </c>
      <c r="C978" s="70">
        <v>719950509</v>
      </c>
      <c r="D978" s="70">
        <v>686661197</v>
      </c>
      <c r="E978" s="70">
        <v>792864569</v>
      </c>
      <c r="F978" s="70">
        <v>65154294</v>
      </c>
      <c r="G978" s="71">
        <f t="shared" si="44"/>
        <v>2264630569</v>
      </c>
      <c r="H978" s="60">
        <v>0</v>
      </c>
      <c r="I978" s="72"/>
    </row>
    <row r="979" spans="1:9">
      <c r="A979" s="68" t="s">
        <v>37</v>
      </c>
      <c r="B979" s="69">
        <v>1998</v>
      </c>
      <c r="C979" s="70">
        <v>720826519</v>
      </c>
      <c r="D979" s="70">
        <v>550848286</v>
      </c>
      <c r="E979" s="70">
        <v>960047164</v>
      </c>
      <c r="F979" s="70">
        <v>56616238</v>
      </c>
      <c r="G979" s="71">
        <f t="shared" si="44"/>
        <v>2288338207</v>
      </c>
      <c r="H979" s="60">
        <v>0</v>
      </c>
      <c r="I979" s="72"/>
    </row>
    <row r="980" spans="1:9">
      <c r="A980" s="68" t="s">
        <v>37</v>
      </c>
      <c r="B980" s="69">
        <v>1999</v>
      </c>
      <c r="C980" s="70">
        <v>728877210</v>
      </c>
      <c r="D980" s="70">
        <v>726671578</v>
      </c>
      <c r="E980" s="70">
        <v>786285685</v>
      </c>
      <c r="F980" s="70">
        <v>125216390</v>
      </c>
      <c r="G980" s="71">
        <f t="shared" si="44"/>
        <v>2367050863</v>
      </c>
      <c r="H980" s="60">
        <v>0</v>
      </c>
      <c r="I980" s="72"/>
    </row>
    <row r="981" spans="1:9">
      <c r="A981" s="68" t="s">
        <v>37</v>
      </c>
      <c r="B981" s="69">
        <v>2000</v>
      </c>
      <c r="C981" s="70">
        <v>743282612</v>
      </c>
      <c r="D981" s="70">
        <v>893636452</v>
      </c>
      <c r="E981" s="70">
        <v>909940157</v>
      </c>
      <c r="F981" s="70">
        <v>73526876</v>
      </c>
      <c r="G981" s="71">
        <f t="shared" si="44"/>
        <v>2620386097</v>
      </c>
      <c r="H981" s="60">
        <v>0</v>
      </c>
      <c r="I981" s="72"/>
    </row>
    <row r="982" spans="1:9">
      <c r="A982" s="68" t="s">
        <v>37</v>
      </c>
      <c r="B982" s="69">
        <v>2001</v>
      </c>
      <c r="C982" s="70">
        <v>771999343</v>
      </c>
      <c r="D982" s="70">
        <v>1004482176</v>
      </c>
      <c r="E982" s="70">
        <v>803603902</v>
      </c>
      <c r="F982" s="70">
        <v>93354686</v>
      </c>
      <c r="G982" s="71">
        <f t="shared" si="44"/>
        <v>2673440107</v>
      </c>
      <c r="H982" s="60">
        <v>0</v>
      </c>
      <c r="I982" s="72"/>
    </row>
    <row r="983" spans="1:9">
      <c r="A983" s="68" t="s">
        <v>37</v>
      </c>
      <c r="B983" s="69">
        <v>2002</v>
      </c>
      <c r="C983" s="70">
        <v>790911199</v>
      </c>
      <c r="D983" s="70">
        <v>1332585909</v>
      </c>
      <c r="E983" s="70">
        <v>848558514</v>
      </c>
      <c r="F983" s="70">
        <v>51183511</v>
      </c>
      <c r="G983" s="71">
        <f t="shared" si="44"/>
        <v>3023239133</v>
      </c>
      <c r="H983" s="60">
        <v>0</v>
      </c>
      <c r="I983" s="72"/>
    </row>
    <row r="984" spans="1:9">
      <c r="A984" s="68" t="s">
        <v>37</v>
      </c>
      <c r="B984" s="69">
        <v>2003</v>
      </c>
      <c r="C984" s="73">
        <v>847274270</v>
      </c>
      <c r="D984" s="73">
        <v>1396433518</v>
      </c>
      <c r="E984" s="73">
        <v>884605712</v>
      </c>
      <c r="F984" s="73">
        <v>48002935</v>
      </c>
      <c r="G984" s="71">
        <f t="shared" si="44"/>
        <v>3176316435</v>
      </c>
      <c r="H984" s="60">
        <v>0</v>
      </c>
      <c r="I984" s="72"/>
    </row>
    <row r="985" spans="1:9">
      <c r="A985" s="68" t="s">
        <v>37</v>
      </c>
      <c r="B985" s="69">
        <v>2004</v>
      </c>
      <c r="C985" s="73">
        <v>880003563</v>
      </c>
      <c r="D985" s="73">
        <v>1274161437</v>
      </c>
      <c r="E985" s="73">
        <v>987967712</v>
      </c>
      <c r="F985" s="73">
        <v>38304389</v>
      </c>
      <c r="G985" s="71">
        <f t="shared" si="44"/>
        <v>3180437101</v>
      </c>
      <c r="H985" s="60">
        <v>0</v>
      </c>
      <c r="I985" s="72"/>
    </row>
    <row r="986" spans="1:9">
      <c r="A986" s="68" t="s">
        <v>37</v>
      </c>
      <c r="B986" s="69">
        <v>2005</v>
      </c>
      <c r="C986" s="73">
        <v>856725793</v>
      </c>
      <c r="D986" s="73">
        <v>1082211585</v>
      </c>
      <c r="E986" s="73">
        <v>1118685177.0999899</v>
      </c>
      <c r="F986" s="73">
        <v>21704483</v>
      </c>
      <c r="G986" s="71">
        <f t="shared" si="44"/>
        <v>3079327038.0999899</v>
      </c>
      <c r="H986" s="60">
        <v>0</v>
      </c>
      <c r="I986" s="72"/>
    </row>
    <row r="987" spans="1:9">
      <c r="A987" s="68" t="s">
        <v>37</v>
      </c>
      <c r="B987" s="69">
        <v>2006</v>
      </c>
      <c r="C987" s="74">
        <v>928149167</v>
      </c>
      <c r="D987" s="74">
        <v>1099881946</v>
      </c>
      <c r="E987" s="74">
        <v>1346163921</v>
      </c>
      <c r="F987" s="74">
        <v>15663377</v>
      </c>
      <c r="G987" s="71">
        <f t="shared" si="44"/>
        <v>3389858411</v>
      </c>
      <c r="H987" s="60">
        <v>0</v>
      </c>
      <c r="I987" s="72"/>
    </row>
    <row r="988" spans="1:9">
      <c r="A988" s="68" t="s">
        <v>37</v>
      </c>
      <c r="B988" s="69">
        <v>2007</v>
      </c>
      <c r="C988" s="74">
        <v>940070559</v>
      </c>
      <c r="D988" s="74">
        <v>1228133633</v>
      </c>
      <c r="E988" s="74">
        <v>1985559448</v>
      </c>
      <c r="F988" s="60">
        <v>0</v>
      </c>
      <c r="G988" s="71">
        <f t="shared" si="44"/>
        <v>4153763640</v>
      </c>
      <c r="H988" s="60">
        <v>0</v>
      </c>
      <c r="I988" s="72"/>
    </row>
    <row r="989" spans="1:9">
      <c r="A989" s="68" t="s">
        <v>37</v>
      </c>
      <c r="B989" s="69">
        <v>2008</v>
      </c>
      <c r="C989" s="74">
        <v>966239499</v>
      </c>
      <c r="D989" s="74">
        <v>1589801073</v>
      </c>
      <c r="E989" s="74">
        <v>1962685043</v>
      </c>
      <c r="F989" s="74">
        <v>19167596</v>
      </c>
      <c r="G989" s="71">
        <f t="shared" si="44"/>
        <v>4537893211</v>
      </c>
      <c r="H989" s="60">
        <v>0</v>
      </c>
      <c r="I989" s="72"/>
    </row>
    <row r="990" spans="1:9">
      <c r="A990" s="68" t="s">
        <v>37</v>
      </c>
      <c r="B990" s="69">
        <v>2009</v>
      </c>
      <c r="C990" s="74">
        <v>1017455661</v>
      </c>
      <c r="D990" s="74">
        <v>1530980278</v>
      </c>
      <c r="E990" s="74">
        <v>1964912338</v>
      </c>
      <c r="F990" s="74">
        <v>44277832</v>
      </c>
      <c r="G990" s="71">
        <f t="shared" si="44"/>
        <v>4557626109</v>
      </c>
      <c r="H990" s="60">
        <v>0</v>
      </c>
      <c r="I990" s="72"/>
    </row>
    <row r="991" spans="1:9">
      <c r="A991" s="68" t="s">
        <v>37</v>
      </c>
      <c r="B991" s="69">
        <v>2010</v>
      </c>
      <c r="C991" s="74">
        <v>1049139067</v>
      </c>
      <c r="D991" s="74">
        <v>1500106331</v>
      </c>
      <c r="E991" s="74">
        <v>2080036886</v>
      </c>
      <c r="F991" s="74">
        <v>62447343</v>
      </c>
      <c r="G991" s="71">
        <f t="shared" si="44"/>
        <v>4691729627</v>
      </c>
      <c r="H991" s="60">
        <v>0</v>
      </c>
      <c r="I991" s="72"/>
    </row>
    <row r="992" spans="1:9">
      <c r="A992" s="68" t="s">
        <v>37</v>
      </c>
      <c r="B992" s="69">
        <v>2011</v>
      </c>
      <c r="C992" s="74">
        <v>1090276860</v>
      </c>
      <c r="D992" s="74">
        <v>1259814723</v>
      </c>
      <c r="E992" s="74">
        <v>2213758036.5799999</v>
      </c>
      <c r="F992" s="74">
        <v>62825317</v>
      </c>
      <c r="G992" s="71">
        <f t="shared" si="44"/>
        <v>4626674936.5799999</v>
      </c>
      <c r="H992" s="60">
        <v>0</v>
      </c>
      <c r="I992" s="72"/>
    </row>
    <row r="993" spans="1:9">
      <c r="A993" s="68" t="s">
        <v>37</v>
      </c>
      <c r="B993" s="69">
        <v>2012</v>
      </c>
      <c r="C993" s="74">
        <v>1108512537</v>
      </c>
      <c r="D993" s="74">
        <v>1321757513</v>
      </c>
      <c r="E993" s="74">
        <v>1510631717</v>
      </c>
      <c r="F993" s="74">
        <v>48366542</v>
      </c>
      <c r="G993" s="71">
        <f t="shared" si="44"/>
        <v>3989268309</v>
      </c>
      <c r="H993" s="60">
        <v>0</v>
      </c>
      <c r="I993" s="72"/>
    </row>
    <row r="994" spans="1:9">
      <c r="A994" s="68"/>
      <c r="C994" s="70"/>
      <c r="D994" s="70"/>
      <c r="E994" s="70"/>
      <c r="F994" s="70"/>
      <c r="G994" s="76"/>
      <c r="I994" s="72"/>
    </row>
    <row r="995" spans="1:9">
      <c r="A995" s="68" t="s">
        <v>38</v>
      </c>
      <c r="B995" s="69">
        <v>1988</v>
      </c>
      <c r="C995" s="70">
        <v>2700343793</v>
      </c>
      <c r="D995" s="70">
        <v>2724377425</v>
      </c>
      <c r="E995" s="70">
        <v>1690553654</v>
      </c>
      <c r="F995" s="70">
        <v>0</v>
      </c>
      <c r="G995" s="71">
        <f>SUM(C995:F995)</f>
        <v>7115274872</v>
      </c>
      <c r="H995" s="60">
        <v>0</v>
      </c>
      <c r="I995" s="72"/>
    </row>
    <row r="996" spans="1:9">
      <c r="A996" s="68" t="s">
        <v>38</v>
      </c>
      <c r="B996" s="69">
        <v>1989</v>
      </c>
      <c r="C996" s="70">
        <v>2859921673</v>
      </c>
      <c r="D996" s="70">
        <v>3506394627</v>
      </c>
      <c r="E996" s="70">
        <v>1785997652</v>
      </c>
      <c r="F996" s="70">
        <v>0</v>
      </c>
      <c r="G996" s="71">
        <f t="shared" ref="G996:G1019" si="45">SUM(C996:F996)</f>
        <v>8152313952</v>
      </c>
      <c r="H996" s="60">
        <v>0</v>
      </c>
      <c r="I996" s="72"/>
    </row>
    <row r="997" spans="1:9">
      <c r="A997" s="68" t="s">
        <v>38</v>
      </c>
      <c r="B997" s="69">
        <v>1990</v>
      </c>
      <c r="C997" s="70">
        <v>3035490589</v>
      </c>
      <c r="D997" s="70">
        <v>3622625730.4000001</v>
      </c>
      <c r="E997" s="70">
        <v>1888296161</v>
      </c>
      <c r="F997" s="70">
        <v>0</v>
      </c>
      <c r="G997" s="71">
        <f t="shared" si="45"/>
        <v>8546412480.3999996</v>
      </c>
      <c r="H997" s="60">
        <v>0</v>
      </c>
      <c r="I997" s="72"/>
    </row>
    <row r="998" spans="1:9">
      <c r="A998" s="68" t="s">
        <v>38</v>
      </c>
      <c r="B998" s="69">
        <v>1991</v>
      </c>
      <c r="C998" s="70">
        <v>3191579628</v>
      </c>
      <c r="D998" s="70">
        <v>2821578406</v>
      </c>
      <c r="E998" s="70">
        <v>1985179991</v>
      </c>
      <c r="F998" s="70">
        <v>0</v>
      </c>
      <c r="G998" s="71">
        <f t="shared" si="45"/>
        <v>7998338025</v>
      </c>
      <c r="H998" s="60">
        <v>0</v>
      </c>
      <c r="I998" s="72"/>
    </row>
    <row r="999" spans="1:9">
      <c r="A999" s="68" t="s">
        <v>38</v>
      </c>
      <c r="B999" s="69">
        <v>1992</v>
      </c>
      <c r="C999" s="70">
        <v>3358538676</v>
      </c>
      <c r="D999" s="70">
        <v>2438918555.1599998</v>
      </c>
      <c r="E999" s="70">
        <v>2017525467</v>
      </c>
      <c r="F999" s="70">
        <v>1628237584</v>
      </c>
      <c r="G999" s="71">
        <f t="shared" si="45"/>
        <v>9443220282.1599998</v>
      </c>
      <c r="H999" s="60">
        <v>0</v>
      </c>
      <c r="I999" s="72"/>
    </row>
    <row r="1000" spans="1:9">
      <c r="A1000" s="68" t="s">
        <v>38</v>
      </c>
      <c r="B1000" s="69">
        <v>1993</v>
      </c>
      <c r="C1000" s="70">
        <v>3578335954</v>
      </c>
      <c r="D1000" s="70">
        <v>2225973485</v>
      </c>
      <c r="E1000" s="70">
        <v>2117059165</v>
      </c>
      <c r="F1000" s="70">
        <v>1379394121</v>
      </c>
      <c r="G1000" s="71">
        <f t="shared" si="45"/>
        <v>9300762725</v>
      </c>
      <c r="H1000" s="60">
        <v>0</v>
      </c>
      <c r="I1000" s="72"/>
    </row>
    <row r="1001" spans="1:9">
      <c r="A1001" s="68" t="s">
        <v>38</v>
      </c>
      <c r="B1001" s="69">
        <v>1994</v>
      </c>
      <c r="C1001" s="70">
        <v>3734032803</v>
      </c>
      <c r="D1001" s="70">
        <v>2530741767</v>
      </c>
      <c r="E1001" s="70">
        <v>2228943235</v>
      </c>
      <c r="F1001" s="70">
        <v>1369288162</v>
      </c>
      <c r="G1001" s="71">
        <f t="shared" si="45"/>
        <v>9863005967</v>
      </c>
      <c r="H1001" s="60">
        <v>0</v>
      </c>
      <c r="I1001" s="72"/>
    </row>
    <row r="1002" spans="1:9">
      <c r="A1002" s="68" t="s">
        <v>38</v>
      </c>
      <c r="B1002" s="69">
        <v>1995</v>
      </c>
      <c r="C1002" s="70">
        <v>3790467592</v>
      </c>
      <c r="D1002" s="70">
        <v>2878497123</v>
      </c>
      <c r="E1002" s="70">
        <v>2354037821</v>
      </c>
      <c r="F1002" s="70">
        <v>1244507998</v>
      </c>
      <c r="G1002" s="71">
        <f t="shared" si="45"/>
        <v>10267510534</v>
      </c>
      <c r="H1002" s="60">
        <v>0</v>
      </c>
      <c r="I1002" s="72"/>
    </row>
    <row r="1003" spans="1:9">
      <c r="A1003" s="68" t="s">
        <v>38</v>
      </c>
      <c r="B1003" s="69">
        <v>1996</v>
      </c>
      <c r="C1003" s="70">
        <v>3878535536</v>
      </c>
      <c r="D1003" s="70">
        <v>2375412080</v>
      </c>
      <c r="E1003" s="70">
        <v>2442567996</v>
      </c>
      <c r="F1003" s="70">
        <v>942485425</v>
      </c>
      <c r="G1003" s="71">
        <f t="shared" si="45"/>
        <v>9639001037</v>
      </c>
      <c r="H1003" s="60">
        <v>0</v>
      </c>
      <c r="I1003" s="72"/>
    </row>
    <row r="1004" spans="1:9">
      <c r="A1004" s="68" t="s">
        <v>38</v>
      </c>
      <c r="B1004" s="69">
        <v>1997</v>
      </c>
      <c r="C1004" s="70">
        <v>4096755372</v>
      </c>
      <c r="D1004" s="70">
        <v>2561449089</v>
      </c>
      <c r="E1004" s="70">
        <v>3046664447</v>
      </c>
      <c r="F1004" s="70">
        <v>1121172513</v>
      </c>
      <c r="G1004" s="71">
        <f t="shared" si="45"/>
        <v>10826041421</v>
      </c>
      <c r="H1004" s="60">
        <v>0</v>
      </c>
      <c r="I1004" s="72"/>
    </row>
    <row r="1005" spans="1:9">
      <c r="A1005" s="68" t="s">
        <v>38</v>
      </c>
      <c r="B1005" s="69">
        <v>1998</v>
      </c>
      <c r="C1005" s="70">
        <v>4404475350</v>
      </c>
      <c r="D1005" s="70">
        <v>2543399536</v>
      </c>
      <c r="E1005" s="70">
        <v>3807399187</v>
      </c>
      <c r="F1005" s="70">
        <v>1180688239</v>
      </c>
      <c r="G1005" s="71">
        <f t="shared" si="45"/>
        <v>11935962312</v>
      </c>
      <c r="H1005" s="60">
        <v>0</v>
      </c>
      <c r="I1005" s="72"/>
    </row>
    <row r="1006" spans="1:9">
      <c r="A1006" s="68" t="s">
        <v>38</v>
      </c>
      <c r="B1006" s="69">
        <v>1999</v>
      </c>
      <c r="C1006" s="70">
        <v>3949231052</v>
      </c>
      <c r="D1006" s="70">
        <v>3219744087</v>
      </c>
      <c r="E1006" s="70">
        <v>4298497622</v>
      </c>
      <c r="F1006" s="70">
        <v>1691105187</v>
      </c>
      <c r="G1006" s="71">
        <f t="shared" si="45"/>
        <v>13158577948</v>
      </c>
      <c r="H1006" s="60">
        <v>0</v>
      </c>
      <c r="I1006" s="72"/>
    </row>
    <row r="1007" spans="1:9">
      <c r="A1007" s="68" t="s">
        <v>38</v>
      </c>
      <c r="B1007" s="69">
        <v>2000</v>
      </c>
      <c r="C1007" s="70">
        <v>4065294184</v>
      </c>
      <c r="D1007" s="70">
        <v>4488726962</v>
      </c>
      <c r="E1007" s="70">
        <v>4761736114</v>
      </c>
      <c r="F1007" s="70">
        <v>2041018228</v>
      </c>
      <c r="G1007" s="71">
        <f t="shared" si="45"/>
        <v>15356775488</v>
      </c>
      <c r="H1007" s="60">
        <v>0</v>
      </c>
      <c r="I1007" s="72"/>
    </row>
    <row r="1008" spans="1:9">
      <c r="A1008" s="68" t="s">
        <v>38</v>
      </c>
      <c r="B1008" s="69">
        <v>2001</v>
      </c>
      <c r="C1008" s="70">
        <v>4102437813</v>
      </c>
      <c r="D1008" s="70">
        <v>6056074057</v>
      </c>
      <c r="E1008" s="70">
        <v>5453565481</v>
      </c>
      <c r="F1008" s="70">
        <v>1279744383</v>
      </c>
      <c r="G1008" s="71">
        <f t="shared" si="45"/>
        <v>16891821734</v>
      </c>
      <c r="H1008" s="60">
        <v>0</v>
      </c>
      <c r="I1008" s="72"/>
    </row>
    <row r="1009" spans="1:9">
      <c r="A1009" s="68" t="s">
        <v>38</v>
      </c>
      <c r="B1009" s="69">
        <v>2002</v>
      </c>
      <c r="C1009" s="70">
        <v>4241759312</v>
      </c>
      <c r="D1009" s="70">
        <v>7757730305</v>
      </c>
      <c r="E1009" s="70">
        <v>5423904037</v>
      </c>
      <c r="F1009" s="70">
        <v>886465132</v>
      </c>
      <c r="G1009" s="71">
        <f t="shared" si="45"/>
        <v>18309858786</v>
      </c>
      <c r="H1009" s="60">
        <v>0</v>
      </c>
      <c r="I1009" s="72"/>
    </row>
    <row r="1010" spans="1:9">
      <c r="A1010" s="68" t="s">
        <v>38</v>
      </c>
      <c r="B1010" s="69">
        <v>2003</v>
      </c>
      <c r="C1010" s="73">
        <v>4283734618</v>
      </c>
      <c r="D1010" s="73">
        <v>6612923769</v>
      </c>
      <c r="E1010" s="73">
        <v>5454626329</v>
      </c>
      <c r="F1010" s="73">
        <v>1999372190</v>
      </c>
      <c r="G1010" s="71">
        <f t="shared" si="45"/>
        <v>18350656906</v>
      </c>
      <c r="H1010" s="60">
        <v>0</v>
      </c>
      <c r="I1010" s="72"/>
    </row>
    <row r="1011" spans="1:9">
      <c r="A1011" s="68" t="s">
        <v>38</v>
      </c>
      <c r="B1011" s="69">
        <v>2004</v>
      </c>
      <c r="C1011" s="73">
        <v>4440999335</v>
      </c>
      <c r="D1011" s="73">
        <v>5576480544</v>
      </c>
      <c r="E1011" s="73">
        <v>6099829758</v>
      </c>
      <c r="F1011" s="73">
        <v>1689775776</v>
      </c>
      <c r="G1011" s="71">
        <f t="shared" si="45"/>
        <v>17807085413</v>
      </c>
      <c r="H1011" s="60">
        <v>0</v>
      </c>
      <c r="I1011" s="72"/>
    </row>
    <row r="1012" spans="1:9">
      <c r="A1012" s="68" t="s">
        <v>38</v>
      </c>
      <c r="B1012" s="69">
        <v>2005</v>
      </c>
      <c r="C1012" s="73">
        <v>4483627399</v>
      </c>
      <c r="D1012" s="73">
        <v>5460271116</v>
      </c>
      <c r="E1012" s="73">
        <v>6311221044.0699902</v>
      </c>
      <c r="F1012" s="73">
        <v>1692178534</v>
      </c>
      <c r="G1012" s="71">
        <f t="shared" si="45"/>
        <v>17947298093.069992</v>
      </c>
      <c r="H1012" s="60">
        <v>0</v>
      </c>
      <c r="I1012" s="72"/>
    </row>
    <row r="1013" spans="1:9">
      <c r="A1013" s="68" t="s">
        <v>38</v>
      </c>
      <c r="B1013" s="69">
        <v>2006</v>
      </c>
      <c r="C1013" s="74">
        <v>4768194250</v>
      </c>
      <c r="D1013" s="74">
        <v>6048284361</v>
      </c>
      <c r="E1013" s="74">
        <v>6921767748</v>
      </c>
      <c r="F1013" s="74">
        <v>1274331754</v>
      </c>
      <c r="G1013" s="71">
        <f t="shared" si="45"/>
        <v>19012578113</v>
      </c>
      <c r="H1013" s="60">
        <v>0</v>
      </c>
      <c r="I1013" s="72"/>
    </row>
    <row r="1014" spans="1:9">
      <c r="A1014" s="68" t="s">
        <v>38</v>
      </c>
      <c r="B1014" s="69">
        <v>2007</v>
      </c>
      <c r="C1014" s="74">
        <v>5066977183</v>
      </c>
      <c r="D1014" s="74">
        <v>5466247689</v>
      </c>
      <c r="E1014" s="74">
        <v>9928397167</v>
      </c>
      <c r="F1014" s="74">
        <v>1261160193</v>
      </c>
      <c r="G1014" s="71">
        <f t="shared" si="45"/>
        <v>21722782232</v>
      </c>
      <c r="H1014" s="60">
        <v>0</v>
      </c>
      <c r="I1014" s="72"/>
    </row>
    <row r="1015" spans="1:9">
      <c r="A1015" s="68" t="s">
        <v>38</v>
      </c>
      <c r="B1015" s="69">
        <v>2008</v>
      </c>
      <c r="C1015" s="74">
        <v>5205611810</v>
      </c>
      <c r="D1015" s="74">
        <v>7478753172</v>
      </c>
      <c r="E1015" s="74">
        <v>11184147263</v>
      </c>
      <c r="F1015" s="74">
        <v>1728321413</v>
      </c>
      <c r="G1015" s="71">
        <f t="shared" si="45"/>
        <v>25596833658</v>
      </c>
      <c r="H1015" s="60">
        <v>0</v>
      </c>
      <c r="I1015" s="72"/>
    </row>
    <row r="1016" spans="1:9">
      <c r="A1016" s="68" t="s">
        <v>38</v>
      </c>
      <c r="B1016" s="69">
        <v>2009</v>
      </c>
      <c r="C1016" s="74">
        <v>5353285595</v>
      </c>
      <c r="D1016" s="74">
        <v>7676423343</v>
      </c>
      <c r="E1016" s="74">
        <v>11075676444</v>
      </c>
      <c r="F1016" s="74">
        <v>1281332384</v>
      </c>
      <c r="G1016" s="71">
        <f t="shared" si="45"/>
        <v>25386717766</v>
      </c>
      <c r="H1016" s="60">
        <v>0</v>
      </c>
      <c r="I1016" s="72"/>
    </row>
    <row r="1017" spans="1:9">
      <c r="A1017" s="68" t="s">
        <v>38</v>
      </c>
      <c r="B1017" s="69">
        <v>2010</v>
      </c>
      <c r="C1017" s="74">
        <v>5636140327</v>
      </c>
      <c r="D1017" s="74">
        <v>7066633789</v>
      </c>
      <c r="E1017" s="74">
        <v>11650282301</v>
      </c>
      <c r="F1017" s="74">
        <v>1301573231</v>
      </c>
      <c r="G1017" s="71">
        <f t="shared" si="45"/>
        <v>25654629648</v>
      </c>
      <c r="H1017" s="60">
        <v>0</v>
      </c>
      <c r="I1017" s="72"/>
    </row>
    <row r="1018" spans="1:9">
      <c r="A1018" s="68" t="s">
        <v>38</v>
      </c>
      <c r="B1018" s="69">
        <v>2011</v>
      </c>
      <c r="C1018" s="74">
        <v>5811507389</v>
      </c>
      <c r="D1018" s="74">
        <v>6596059850</v>
      </c>
      <c r="E1018" s="74">
        <v>12454795522.610001</v>
      </c>
      <c r="F1018" s="74">
        <v>1527433646</v>
      </c>
      <c r="G1018" s="71">
        <f t="shared" si="45"/>
        <v>26389796407.610001</v>
      </c>
      <c r="H1018" s="60">
        <v>0</v>
      </c>
      <c r="I1018" s="72"/>
    </row>
    <row r="1019" spans="1:9">
      <c r="A1019" s="68" t="s">
        <v>38</v>
      </c>
      <c r="B1019" s="69">
        <v>2012</v>
      </c>
      <c r="C1019" s="74">
        <v>5990227116</v>
      </c>
      <c r="D1019" s="74">
        <v>7503416133</v>
      </c>
      <c r="E1019" s="74">
        <v>10664417471</v>
      </c>
      <c r="F1019" s="74">
        <v>3251184196</v>
      </c>
      <c r="G1019" s="71">
        <f t="shared" si="45"/>
        <v>27409244916</v>
      </c>
      <c r="H1019" s="60">
        <v>0</v>
      </c>
      <c r="I1019" s="72"/>
    </row>
    <row r="1020" spans="1:9">
      <c r="A1020" s="68"/>
      <c r="C1020" s="70"/>
      <c r="D1020" s="70"/>
      <c r="E1020" s="70"/>
      <c r="F1020" s="70"/>
      <c r="G1020" s="76"/>
      <c r="I1020" s="72"/>
    </row>
    <row r="1021" spans="1:9">
      <c r="A1021" s="68" t="s">
        <v>39</v>
      </c>
      <c r="B1021" s="69">
        <v>1988</v>
      </c>
      <c r="C1021" s="70">
        <v>202599488</v>
      </c>
      <c r="D1021" s="70">
        <v>25279811</v>
      </c>
      <c r="E1021" s="70">
        <v>425612159</v>
      </c>
      <c r="F1021" s="70">
        <v>0</v>
      </c>
      <c r="G1021" s="71">
        <f>SUM(C1021:F1021)</f>
        <v>653491458</v>
      </c>
      <c r="H1021" s="60">
        <v>0</v>
      </c>
      <c r="I1021" s="72"/>
    </row>
    <row r="1022" spans="1:9">
      <c r="A1022" s="68" t="s">
        <v>39</v>
      </c>
      <c r="B1022" s="69">
        <v>1989</v>
      </c>
      <c r="C1022" s="70">
        <v>208835315</v>
      </c>
      <c r="D1022" s="70">
        <v>39507260</v>
      </c>
      <c r="E1022" s="70">
        <v>459918822</v>
      </c>
      <c r="F1022" s="70">
        <v>0</v>
      </c>
      <c r="G1022" s="71">
        <f t="shared" ref="G1022:G1045" si="46">SUM(C1022:F1022)</f>
        <v>708261397</v>
      </c>
      <c r="H1022" s="60">
        <v>0</v>
      </c>
      <c r="I1022" s="72"/>
    </row>
    <row r="1023" spans="1:9">
      <c r="A1023" s="68" t="s">
        <v>39</v>
      </c>
      <c r="B1023" s="69">
        <v>1990</v>
      </c>
      <c r="C1023" s="70">
        <v>218158248</v>
      </c>
      <c r="D1023" s="70">
        <v>44600135.520000003</v>
      </c>
      <c r="E1023" s="70">
        <v>491454195</v>
      </c>
      <c r="F1023" s="70">
        <v>0</v>
      </c>
      <c r="G1023" s="71">
        <f t="shared" si="46"/>
        <v>754212578.51999998</v>
      </c>
      <c r="H1023" s="60">
        <v>0</v>
      </c>
      <c r="I1023" s="72"/>
    </row>
    <row r="1024" spans="1:9">
      <c r="A1024" s="68" t="s">
        <v>39</v>
      </c>
      <c r="B1024" s="69">
        <v>1991</v>
      </c>
      <c r="C1024" s="70">
        <v>219457003</v>
      </c>
      <c r="D1024" s="70">
        <v>48510553</v>
      </c>
      <c r="E1024" s="70">
        <v>493779178</v>
      </c>
      <c r="F1024" s="70">
        <v>0</v>
      </c>
      <c r="G1024" s="71">
        <f t="shared" si="46"/>
        <v>761746734</v>
      </c>
      <c r="H1024" s="60">
        <v>0</v>
      </c>
      <c r="I1024" s="72"/>
    </row>
    <row r="1025" spans="1:9">
      <c r="A1025" s="68" t="s">
        <v>39</v>
      </c>
      <c r="B1025" s="69">
        <v>1992</v>
      </c>
      <c r="C1025" s="70">
        <v>242057864</v>
      </c>
      <c r="D1025" s="70">
        <v>68159460.200000003</v>
      </c>
      <c r="E1025" s="70">
        <v>488694921</v>
      </c>
      <c r="F1025" s="70">
        <v>0</v>
      </c>
      <c r="G1025" s="71">
        <f t="shared" si="46"/>
        <v>798912245.20000005</v>
      </c>
      <c r="H1025" s="60">
        <v>0</v>
      </c>
      <c r="I1025" s="72"/>
    </row>
    <row r="1026" spans="1:9">
      <c r="A1026" s="68" t="s">
        <v>39</v>
      </c>
      <c r="B1026" s="69">
        <v>1993</v>
      </c>
      <c r="C1026" s="70">
        <v>243162226</v>
      </c>
      <c r="D1026" s="70">
        <v>46009753</v>
      </c>
      <c r="E1026" s="70">
        <v>516131878</v>
      </c>
      <c r="F1026" s="70">
        <v>0</v>
      </c>
      <c r="G1026" s="71">
        <f t="shared" si="46"/>
        <v>805303857</v>
      </c>
      <c r="H1026" s="60">
        <v>0</v>
      </c>
      <c r="I1026" s="72"/>
    </row>
    <row r="1027" spans="1:9">
      <c r="A1027" s="68" t="s">
        <v>39</v>
      </c>
      <c r="B1027" s="69">
        <v>1994</v>
      </c>
      <c r="C1027" s="70">
        <v>273209720</v>
      </c>
      <c r="D1027" s="70">
        <v>61908792</v>
      </c>
      <c r="E1027" s="70">
        <v>547843632</v>
      </c>
      <c r="F1027" s="70">
        <v>0</v>
      </c>
      <c r="G1027" s="71">
        <f t="shared" si="46"/>
        <v>882962144</v>
      </c>
      <c r="H1027" s="60">
        <v>0</v>
      </c>
      <c r="I1027" s="72"/>
    </row>
    <row r="1028" spans="1:9">
      <c r="A1028" s="68" t="s">
        <v>39</v>
      </c>
      <c r="B1028" s="69">
        <v>1995</v>
      </c>
      <c r="C1028" s="70">
        <v>273978756</v>
      </c>
      <c r="D1028" s="70">
        <v>51075560</v>
      </c>
      <c r="E1028" s="70">
        <v>677006797</v>
      </c>
      <c r="F1028" s="70">
        <v>0</v>
      </c>
      <c r="G1028" s="71">
        <f t="shared" si="46"/>
        <v>1002061113</v>
      </c>
      <c r="H1028" s="60">
        <v>0</v>
      </c>
      <c r="I1028" s="72"/>
    </row>
    <row r="1029" spans="1:9">
      <c r="A1029" s="68" t="s">
        <v>39</v>
      </c>
      <c r="B1029" s="69">
        <v>1996</v>
      </c>
      <c r="C1029" s="70">
        <v>321962959</v>
      </c>
      <c r="D1029" s="70">
        <v>60907369</v>
      </c>
      <c r="E1029" s="70">
        <v>863693287</v>
      </c>
      <c r="F1029" s="70">
        <v>0</v>
      </c>
      <c r="G1029" s="71">
        <f t="shared" si="46"/>
        <v>1246563615</v>
      </c>
      <c r="H1029" s="60">
        <v>0</v>
      </c>
      <c r="I1029" s="72"/>
    </row>
    <row r="1030" spans="1:9">
      <c r="A1030" s="68" t="s">
        <v>39</v>
      </c>
      <c r="B1030" s="69">
        <v>1997</v>
      </c>
      <c r="C1030" s="70">
        <v>318651746</v>
      </c>
      <c r="D1030" s="70">
        <v>57572959</v>
      </c>
      <c r="E1030" s="70">
        <v>942379370</v>
      </c>
      <c r="F1030" s="70">
        <v>0</v>
      </c>
      <c r="G1030" s="71">
        <f t="shared" si="46"/>
        <v>1318604075</v>
      </c>
      <c r="H1030" s="60">
        <v>0</v>
      </c>
      <c r="I1030" s="72"/>
    </row>
    <row r="1031" spans="1:9">
      <c r="A1031" s="68" t="s">
        <v>39</v>
      </c>
      <c r="B1031" s="69">
        <v>1998</v>
      </c>
      <c r="C1031" s="70">
        <v>315930532</v>
      </c>
      <c r="D1031" s="70">
        <v>50426968</v>
      </c>
      <c r="E1031" s="70">
        <v>1026175813</v>
      </c>
      <c r="F1031" s="70">
        <v>0</v>
      </c>
      <c r="G1031" s="71">
        <f t="shared" si="46"/>
        <v>1392533313</v>
      </c>
      <c r="H1031" s="60">
        <v>0</v>
      </c>
      <c r="I1031" s="72"/>
    </row>
    <row r="1032" spans="1:9">
      <c r="A1032" s="68" t="s">
        <v>39</v>
      </c>
      <c r="B1032" s="69">
        <v>1999</v>
      </c>
      <c r="C1032" s="70">
        <v>299651540</v>
      </c>
      <c r="D1032" s="70">
        <v>78385779</v>
      </c>
      <c r="E1032" s="70">
        <v>1506890561</v>
      </c>
      <c r="F1032" s="70">
        <v>0</v>
      </c>
      <c r="G1032" s="71">
        <f t="shared" si="46"/>
        <v>1884927880</v>
      </c>
      <c r="H1032" s="60">
        <v>0</v>
      </c>
      <c r="I1032" s="72"/>
    </row>
    <row r="1033" spans="1:9">
      <c r="A1033" s="68" t="s">
        <v>39</v>
      </c>
      <c r="B1033" s="69">
        <v>2000</v>
      </c>
      <c r="C1033" s="70">
        <v>305819949</v>
      </c>
      <c r="D1033" s="70">
        <v>117061021</v>
      </c>
      <c r="E1033" s="70">
        <v>1327409479</v>
      </c>
      <c r="F1033" s="70">
        <v>0</v>
      </c>
      <c r="G1033" s="71">
        <f t="shared" si="46"/>
        <v>1750290449</v>
      </c>
      <c r="H1033" s="60">
        <v>0</v>
      </c>
      <c r="I1033" s="72"/>
    </row>
    <row r="1034" spans="1:9">
      <c r="A1034" s="68" t="s">
        <v>39</v>
      </c>
      <c r="B1034" s="69">
        <v>2001</v>
      </c>
      <c r="C1034" s="70">
        <v>344030482</v>
      </c>
      <c r="D1034" s="70">
        <v>94209655</v>
      </c>
      <c r="E1034" s="70">
        <v>2000429756</v>
      </c>
      <c r="F1034" s="70">
        <v>0</v>
      </c>
      <c r="G1034" s="71">
        <f t="shared" si="46"/>
        <v>2438669893</v>
      </c>
      <c r="H1034" s="60">
        <v>0</v>
      </c>
      <c r="I1034" s="72"/>
    </row>
    <row r="1035" spans="1:9">
      <c r="A1035" s="68" t="s">
        <v>39</v>
      </c>
      <c r="B1035" s="69">
        <v>2002</v>
      </c>
      <c r="C1035" s="70">
        <v>326152465</v>
      </c>
      <c r="D1035" s="70">
        <v>157812085</v>
      </c>
      <c r="E1035" s="70">
        <v>1805219153</v>
      </c>
      <c r="F1035" s="70">
        <v>0</v>
      </c>
      <c r="G1035" s="71">
        <f t="shared" si="46"/>
        <v>2289183703</v>
      </c>
      <c r="H1035" s="60">
        <v>0</v>
      </c>
      <c r="I1035" s="72"/>
    </row>
    <row r="1036" spans="1:9">
      <c r="A1036" s="68" t="s">
        <v>39</v>
      </c>
      <c r="B1036" s="69">
        <v>2003</v>
      </c>
      <c r="C1036" s="73">
        <v>342246780</v>
      </c>
      <c r="D1036" s="73">
        <v>157781808</v>
      </c>
      <c r="E1036" s="73">
        <v>1829094568</v>
      </c>
      <c r="F1036" s="70">
        <v>0</v>
      </c>
      <c r="G1036" s="71">
        <f t="shared" si="46"/>
        <v>2329123156</v>
      </c>
      <c r="H1036" s="60">
        <v>0</v>
      </c>
    </row>
    <row r="1037" spans="1:9">
      <c r="A1037" s="68" t="s">
        <v>39</v>
      </c>
      <c r="B1037" s="69">
        <v>2004</v>
      </c>
      <c r="C1037" s="73">
        <v>358055028</v>
      </c>
      <c r="D1037" s="73">
        <v>134095632</v>
      </c>
      <c r="E1037" s="73">
        <v>1920507213</v>
      </c>
      <c r="F1037" s="70">
        <v>0</v>
      </c>
      <c r="G1037" s="71">
        <f t="shared" si="46"/>
        <v>2412657873</v>
      </c>
      <c r="H1037" s="60">
        <v>0</v>
      </c>
    </row>
    <row r="1038" spans="1:9">
      <c r="A1038" s="68" t="s">
        <v>39</v>
      </c>
      <c r="B1038" s="69">
        <v>2005</v>
      </c>
      <c r="C1038" s="73">
        <v>384344050</v>
      </c>
      <c r="D1038" s="73">
        <v>116205874</v>
      </c>
      <c r="E1038" s="73">
        <v>2126705528.4000001</v>
      </c>
      <c r="F1038" s="70">
        <v>0</v>
      </c>
      <c r="G1038" s="71">
        <f t="shared" si="46"/>
        <v>2627255452.4000001</v>
      </c>
      <c r="H1038" s="60">
        <v>0</v>
      </c>
    </row>
    <row r="1039" spans="1:9">
      <c r="A1039" s="68" t="s">
        <v>39</v>
      </c>
      <c r="B1039" s="69">
        <v>2006</v>
      </c>
      <c r="C1039" s="74">
        <v>394855050</v>
      </c>
      <c r="D1039" s="74">
        <v>147589799</v>
      </c>
      <c r="E1039" s="74">
        <v>2322285870</v>
      </c>
      <c r="F1039" s="74">
        <v>0</v>
      </c>
      <c r="G1039" s="71">
        <f t="shared" si="46"/>
        <v>2864730719</v>
      </c>
      <c r="H1039" s="60">
        <v>0</v>
      </c>
    </row>
    <row r="1040" spans="1:9">
      <c r="A1040" s="68" t="s">
        <v>39</v>
      </c>
      <c r="B1040" s="69">
        <v>2007</v>
      </c>
      <c r="C1040" s="74">
        <v>408813039</v>
      </c>
      <c r="D1040" s="74">
        <v>191221562</v>
      </c>
      <c r="E1040" s="74">
        <v>2038007707</v>
      </c>
      <c r="F1040" s="74">
        <v>0</v>
      </c>
      <c r="G1040" s="71">
        <f t="shared" si="46"/>
        <v>2638042308</v>
      </c>
      <c r="H1040" s="60">
        <v>0</v>
      </c>
    </row>
    <row r="1041" spans="1:9">
      <c r="A1041" s="68" t="s">
        <v>39</v>
      </c>
      <c r="B1041" s="69">
        <v>2008</v>
      </c>
      <c r="C1041" s="74">
        <v>402682405</v>
      </c>
      <c r="D1041" s="74">
        <v>158372547</v>
      </c>
      <c r="E1041" s="74">
        <v>2330915530</v>
      </c>
      <c r="F1041" s="74">
        <v>0</v>
      </c>
      <c r="G1041" s="71">
        <f t="shared" si="46"/>
        <v>2891970482</v>
      </c>
      <c r="H1041" s="60">
        <v>0</v>
      </c>
    </row>
    <row r="1042" spans="1:9">
      <c r="A1042" s="68" t="s">
        <v>39</v>
      </c>
      <c r="B1042" s="69">
        <v>2009</v>
      </c>
      <c r="C1042" s="74">
        <v>428037026</v>
      </c>
      <c r="D1042" s="74">
        <v>255175425</v>
      </c>
      <c r="E1042" s="74">
        <v>2354225388</v>
      </c>
      <c r="F1042" s="74">
        <v>0</v>
      </c>
      <c r="G1042" s="71">
        <f t="shared" si="46"/>
        <v>3037437839</v>
      </c>
      <c r="H1042" s="60">
        <v>0</v>
      </c>
    </row>
    <row r="1043" spans="1:9">
      <c r="A1043" s="68" t="s">
        <v>39</v>
      </c>
      <c r="B1043" s="69">
        <v>2010</v>
      </c>
      <c r="C1043" s="74">
        <v>424510764</v>
      </c>
      <c r="D1043" s="74">
        <v>272500504</v>
      </c>
      <c r="E1043" s="74">
        <v>2325814622</v>
      </c>
      <c r="F1043" s="74">
        <v>0</v>
      </c>
      <c r="G1043" s="71">
        <f t="shared" si="46"/>
        <v>3022825890</v>
      </c>
      <c r="H1043" s="60">
        <v>0</v>
      </c>
    </row>
    <row r="1044" spans="1:9">
      <c r="A1044" s="68" t="s">
        <v>39</v>
      </c>
      <c r="B1044" s="69">
        <v>2011</v>
      </c>
      <c r="C1044" s="74">
        <v>441041889</v>
      </c>
      <c r="D1044" s="74">
        <v>325752273</v>
      </c>
      <c r="E1044" s="74">
        <v>1512721518</v>
      </c>
      <c r="F1044" s="74">
        <v>0</v>
      </c>
      <c r="G1044" s="71">
        <f t="shared" si="46"/>
        <v>2279515680</v>
      </c>
      <c r="H1044" s="60">
        <v>0</v>
      </c>
    </row>
    <row r="1045" spans="1:9">
      <c r="A1045" s="68" t="s">
        <v>39</v>
      </c>
      <c r="B1045" s="69">
        <v>2012</v>
      </c>
      <c r="C1045" s="74">
        <v>448293154</v>
      </c>
      <c r="D1045" s="74">
        <v>377889373</v>
      </c>
      <c r="E1045" s="74">
        <v>2150777272</v>
      </c>
      <c r="F1045" s="74"/>
      <c r="G1045" s="71">
        <f t="shared" si="46"/>
        <v>2976959799</v>
      </c>
      <c r="H1045" s="60">
        <v>0</v>
      </c>
    </row>
    <row r="1046" spans="1:9">
      <c r="A1046" s="68"/>
      <c r="C1046" s="70"/>
      <c r="D1046" s="70"/>
      <c r="E1046" s="70"/>
      <c r="F1046" s="70"/>
      <c r="G1046" s="76"/>
      <c r="I1046" s="72"/>
    </row>
    <row r="1047" spans="1:9">
      <c r="A1047" s="68" t="s">
        <v>40</v>
      </c>
      <c r="B1047" s="69">
        <v>1988</v>
      </c>
      <c r="C1047" s="70">
        <v>241592427</v>
      </c>
      <c r="D1047" s="70">
        <v>135208925</v>
      </c>
      <c r="E1047" s="70">
        <v>124908211</v>
      </c>
      <c r="F1047" s="70">
        <v>0</v>
      </c>
      <c r="G1047" s="71">
        <f>SUM(C1047:F1047)</f>
        <v>501709563</v>
      </c>
      <c r="H1047" s="60">
        <v>0</v>
      </c>
      <c r="I1047" s="72"/>
    </row>
    <row r="1048" spans="1:9">
      <c r="A1048" s="68" t="s">
        <v>40</v>
      </c>
      <c r="B1048" s="69">
        <v>1989</v>
      </c>
      <c r="C1048" s="70">
        <v>235543411</v>
      </c>
      <c r="D1048" s="70">
        <v>177930743</v>
      </c>
      <c r="E1048" s="70">
        <v>101472217</v>
      </c>
      <c r="F1048" s="70">
        <v>0</v>
      </c>
      <c r="G1048" s="71">
        <f t="shared" ref="G1048:G1071" si="47">SUM(C1048:F1048)</f>
        <v>514946371</v>
      </c>
      <c r="H1048" s="60">
        <v>0</v>
      </c>
      <c r="I1048" s="72"/>
    </row>
    <row r="1049" spans="1:9">
      <c r="A1049" s="68" t="s">
        <v>40</v>
      </c>
      <c r="B1049" s="69">
        <v>1990</v>
      </c>
      <c r="C1049" s="70">
        <v>252225269</v>
      </c>
      <c r="D1049" s="70">
        <v>313351542.19999999</v>
      </c>
      <c r="E1049" s="70">
        <v>117873033</v>
      </c>
      <c r="F1049" s="70">
        <v>0</v>
      </c>
      <c r="G1049" s="71">
        <f t="shared" si="47"/>
        <v>683449844.20000005</v>
      </c>
      <c r="H1049" s="60">
        <v>0</v>
      </c>
      <c r="I1049" s="72"/>
    </row>
    <row r="1050" spans="1:9">
      <c r="A1050" s="68" t="s">
        <v>40</v>
      </c>
      <c r="B1050" s="69">
        <v>1991</v>
      </c>
      <c r="C1050" s="70">
        <v>242886184</v>
      </c>
      <c r="D1050" s="70">
        <v>317370437</v>
      </c>
      <c r="E1050" s="70">
        <v>130663108</v>
      </c>
      <c r="F1050" s="70">
        <v>0</v>
      </c>
      <c r="G1050" s="71">
        <f t="shared" si="47"/>
        <v>690919729</v>
      </c>
      <c r="H1050" s="60">
        <v>0</v>
      </c>
      <c r="I1050" s="72"/>
    </row>
    <row r="1051" spans="1:9">
      <c r="A1051" s="68" t="s">
        <v>40</v>
      </c>
      <c r="B1051" s="69">
        <v>1992</v>
      </c>
      <c r="C1051" s="70">
        <v>283767485</v>
      </c>
      <c r="D1051" s="70">
        <v>187380350.31999999</v>
      </c>
      <c r="E1051" s="70">
        <v>142290204</v>
      </c>
      <c r="F1051" s="70">
        <v>0</v>
      </c>
      <c r="G1051" s="71">
        <f t="shared" si="47"/>
        <v>613438039.31999993</v>
      </c>
      <c r="H1051" s="60">
        <v>0</v>
      </c>
      <c r="I1051" s="72"/>
    </row>
    <row r="1052" spans="1:9">
      <c r="A1052" s="68" t="s">
        <v>40</v>
      </c>
      <c r="B1052" s="69">
        <v>1993</v>
      </c>
      <c r="C1052" s="70">
        <v>275778174</v>
      </c>
      <c r="D1052" s="70">
        <v>179480221</v>
      </c>
      <c r="E1052" s="70">
        <v>163891426</v>
      </c>
      <c r="F1052" s="70">
        <v>0</v>
      </c>
      <c r="G1052" s="71">
        <f t="shared" si="47"/>
        <v>619149821</v>
      </c>
      <c r="H1052" s="60">
        <v>0</v>
      </c>
      <c r="I1052" s="72"/>
    </row>
    <row r="1053" spans="1:9">
      <c r="A1053" s="68" t="s">
        <v>40</v>
      </c>
      <c r="B1053" s="69">
        <v>1994</v>
      </c>
      <c r="C1053" s="70">
        <v>286520020</v>
      </c>
      <c r="D1053" s="70">
        <v>269677400</v>
      </c>
      <c r="E1053" s="70">
        <v>185799271</v>
      </c>
      <c r="F1053" s="70">
        <v>0</v>
      </c>
      <c r="G1053" s="71">
        <f t="shared" si="47"/>
        <v>741996691</v>
      </c>
      <c r="H1053" s="60">
        <v>0</v>
      </c>
      <c r="I1053" s="72"/>
    </row>
    <row r="1054" spans="1:9">
      <c r="A1054" s="68" t="s">
        <v>40</v>
      </c>
      <c r="B1054" s="69">
        <v>1995</v>
      </c>
      <c r="C1054" s="70">
        <v>344571784</v>
      </c>
      <c r="D1054" s="70">
        <v>296639953</v>
      </c>
      <c r="E1054" s="70">
        <v>169288773</v>
      </c>
      <c r="F1054" s="70">
        <v>0</v>
      </c>
      <c r="G1054" s="71">
        <f t="shared" si="47"/>
        <v>810500510</v>
      </c>
      <c r="H1054" s="60">
        <v>0</v>
      </c>
      <c r="I1054" s="72"/>
    </row>
    <row r="1055" spans="1:9">
      <c r="A1055" s="68" t="s">
        <v>40</v>
      </c>
      <c r="B1055" s="69">
        <v>1996</v>
      </c>
      <c r="C1055" s="70">
        <v>340977377</v>
      </c>
      <c r="D1055" s="70">
        <v>275125829</v>
      </c>
      <c r="E1055" s="70">
        <v>185044330</v>
      </c>
      <c r="F1055" s="70">
        <v>56476573</v>
      </c>
      <c r="G1055" s="71">
        <f t="shared" si="47"/>
        <v>857624109</v>
      </c>
      <c r="H1055" s="60">
        <v>0</v>
      </c>
      <c r="I1055" s="72"/>
    </row>
    <row r="1056" spans="1:9">
      <c r="A1056" s="68" t="s">
        <v>40</v>
      </c>
      <c r="B1056" s="69">
        <v>1997</v>
      </c>
      <c r="C1056" s="70">
        <v>492526568</v>
      </c>
      <c r="D1056" s="70">
        <v>343303826</v>
      </c>
      <c r="E1056" s="70">
        <v>185583861</v>
      </c>
      <c r="F1056" s="70">
        <v>80439353</v>
      </c>
      <c r="G1056" s="71">
        <f t="shared" si="47"/>
        <v>1101853608</v>
      </c>
      <c r="H1056" s="60">
        <v>0</v>
      </c>
      <c r="I1056" s="72"/>
    </row>
    <row r="1057" spans="1:9">
      <c r="A1057" s="68" t="s">
        <v>40</v>
      </c>
      <c r="B1057" s="69">
        <v>1998</v>
      </c>
      <c r="C1057" s="70">
        <v>389341189</v>
      </c>
      <c r="D1057" s="70">
        <v>368445580</v>
      </c>
      <c r="E1057" s="70">
        <v>231565704</v>
      </c>
      <c r="F1057" s="70">
        <v>43056159</v>
      </c>
      <c r="G1057" s="71">
        <f t="shared" si="47"/>
        <v>1032408632</v>
      </c>
      <c r="H1057" s="60">
        <v>0</v>
      </c>
      <c r="I1057" s="72"/>
    </row>
    <row r="1058" spans="1:9">
      <c r="A1058" s="68" t="s">
        <v>40</v>
      </c>
      <c r="B1058" s="69">
        <v>1999</v>
      </c>
      <c r="C1058" s="70">
        <v>440446802</v>
      </c>
      <c r="D1058" s="70">
        <v>494412734</v>
      </c>
      <c r="E1058" s="70">
        <v>196223939</v>
      </c>
      <c r="F1058" s="70">
        <v>37959052</v>
      </c>
      <c r="G1058" s="71">
        <f t="shared" si="47"/>
        <v>1169042527</v>
      </c>
      <c r="H1058" s="60">
        <v>0</v>
      </c>
      <c r="I1058" s="72"/>
    </row>
    <row r="1059" spans="1:9">
      <c r="A1059" s="68" t="s">
        <v>40</v>
      </c>
      <c r="B1059" s="69">
        <v>2000</v>
      </c>
      <c r="C1059" s="70">
        <v>375792365</v>
      </c>
      <c r="D1059" s="70">
        <v>548477925</v>
      </c>
      <c r="E1059" s="70">
        <v>189191140</v>
      </c>
      <c r="F1059" s="70">
        <v>60020952</v>
      </c>
      <c r="G1059" s="71">
        <f t="shared" si="47"/>
        <v>1173482382</v>
      </c>
      <c r="H1059" s="60">
        <v>0</v>
      </c>
      <c r="I1059" s="72"/>
    </row>
    <row r="1060" spans="1:9">
      <c r="A1060" s="68" t="s">
        <v>40</v>
      </c>
      <c r="B1060" s="69">
        <v>2001</v>
      </c>
      <c r="C1060" s="70">
        <v>325026405</v>
      </c>
      <c r="D1060" s="70">
        <v>541430666</v>
      </c>
      <c r="E1060" s="70">
        <v>160270108</v>
      </c>
      <c r="F1060" s="70">
        <v>92433565</v>
      </c>
      <c r="G1060" s="71">
        <f t="shared" si="47"/>
        <v>1119160744</v>
      </c>
      <c r="H1060" s="60">
        <v>0</v>
      </c>
      <c r="I1060" s="72"/>
    </row>
    <row r="1061" spans="1:9">
      <c r="A1061" s="68" t="s">
        <v>40</v>
      </c>
      <c r="B1061" s="69">
        <v>2002</v>
      </c>
      <c r="C1061" s="70">
        <v>330861666</v>
      </c>
      <c r="D1061" s="70">
        <v>676899528</v>
      </c>
      <c r="E1061" s="70">
        <v>268634287</v>
      </c>
      <c r="F1061" s="70">
        <v>71646735</v>
      </c>
      <c r="G1061" s="71">
        <f t="shared" si="47"/>
        <v>1348042216</v>
      </c>
      <c r="H1061" s="60">
        <v>0</v>
      </c>
      <c r="I1061" s="72"/>
    </row>
    <row r="1062" spans="1:9">
      <c r="A1062" s="68" t="s">
        <v>40</v>
      </c>
      <c r="B1062" s="69">
        <v>2003</v>
      </c>
      <c r="C1062" s="73">
        <v>339041953</v>
      </c>
      <c r="D1062" s="73">
        <v>599008931</v>
      </c>
      <c r="E1062" s="73">
        <v>315220851</v>
      </c>
      <c r="F1062" s="73">
        <v>71432255</v>
      </c>
      <c r="G1062" s="71">
        <f t="shared" si="47"/>
        <v>1324703990</v>
      </c>
      <c r="H1062" s="60">
        <v>0</v>
      </c>
      <c r="I1062" s="72"/>
    </row>
    <row r="1063" spans="1:9">
      <c r="A1063" s="68" t="s">
        <v>40</v>
      </c>
      <c r="B1063" s="69">
        <v>2004</v>
      </c>
      <c r="C1063" s="73">
        <v>351494156</v>
      </c>
      <c r="D1063" s="73">
        <v>554865549</v>
      </c>
      <c r="E1063" s="73">
        <v>303817484</v>
      </c>
      <c r="F1063" s="73">
        <v>73967893</v>
      </c>
      <c r="G1063" s="71">
        <f t="shared" si="47"/>
        <v>1284145082</v>
      </c>
      <c r="H1063" s="60">
        <v>0</v>
      </c>
      <c r="I1063" s="72"/>
    </row>
    <row r="1064" spans="1:9">
      <c r="A1064" s="68" t="s">
        <v>40</v>
      </c>
      <c r="B1064" s="69">
        <v>2005</v>
      </c>
      <c r="C1064" s="73">
        <v>374318361</v>
      </c>
      <c r="D1064" s="73">
        <v>465827371</v>
      </c>
      <c r="E1064" s="73">
        <v>323101834</v>
      </c>
      <c r="F1064" s="73">
        <v>32064795</v>
      </c>
      <c r="G1064" s="71">
        <f t="shared" si="47"/>
        <v>1195312361</v>
      </c>
      <c r="H1064" s="60">
        <v>7914750</v>
      </c>
      <c r="I1064" s="60" t="s">
        <v>402</v>
      </c>
    </row>
    <row r="1065" spans="1:9">
      <c r="A1065" s="68" t="s">
        <v>40</v>
      </c>
      <c r="B1065" s="69">
        <v>2006</v>
      </c>
      <c r="C1065" s="74">
        <v>405840552</v>
      </c>
      <c r="D1065" s="74">
        <v>549769877</v>
      </c>
      <c r="E1065" s="74">
        <v>384717537</v>
      </c>
      <c r="F1065" s="74">
        <v>28792157</v>
      </c>
      <c r="G1065" s="71">
        <f t="shared" si="47"/>
        <v>1369120123</v>
      </c>
      <c r="H1065" s="60">
        <v>11681112</v>
      </c>
      <c r="I1065" s="60" t="s">
        <v>402</v>
      </c>
    </row>
    <row r="1066" spans="1:9">
      <c r="A1066" s="68" t="s">
        <v>40</v>
      </c>
      <c r="B1066" s="69">
        <v>2007</v>
      </c>
      <c r="C1066" s="74">
        <v>436367504</v>
      </c>
      <c r="D1066" s="74">
        <v>521784309</v>
      </c>
      <c r="E1066" s="74">
        <v>400591598</v>
      </c>
      <c r="F1066" s="74">
        <v>31790221</v>
      </c>
      <c r="G1066" s="71">
        <f t="shared" si="47"/>
        <v>1390533632</v>
      </c>
      <c r="H1066" s="60">
        <v>11698542</v>
      </c>
      <c r="I1066" s="60" t="s">
        <v>402</v>
      </c>
    </row>
    <row r="1067" spans="1:9">
      <c r="A1067" s="68" t="s">
        <v>40</v>
      </c>
      <c r="B1067" s="69">
        <v>2008</v>
      </c>
      <c r="C1067" s="74">
        <v>407288780</v>
      </c>
      <c r="D1067" s="74">
        <v>705642159</v>
      </c>
      <c r="E1067" s="74">
        <v>426169720</v>
      </c>
      <c r="F1067" s="74">
        <v>28422673</v>
      </c>
      <c r="G1067" s="71">
        <f t="shared" si="47"/>
        <v>1567523332</v>
      </c>
      <c r="H1067" s="60">
        <v>7286255</v>
      </c>
      <c r="I1067" s="60" t="s">
        <v>402</v>
      </c>
    </row>
    <row r="1068" spans="1:9">
      <c r="A1068" s="68" t="s">
        <v>40</v>
      </c>
      <c r="B1068" s="69">
        <v>2009</v>
      </c>
      <c r="C1068" s="74">
        <v>433119016</v>
      </c>
      <c r="D1068" s="74">
        <v>702077515</v>
      </c>
      <c r="E1068" s="74">
        <v>536808363</v>
      </c>
      <c r="F1068" s="74">
        <v>35791653</v>
      </c>
      <c r="G1068" s="71">
        <f t="shared" si="47"/>
        <v>1707796547</v>
      </c>
      <c r="H1068" s="60">
        <v>20125303</v>
      </c>
      <c r="I1068" s="60" t="s">
        <v>402</v>
      </c>
    </row>
    <row r="1069" spans="1:9">
      <c r="A1069" s="68" t="s">
        <v>40</v>
      </c>
      <c r="B1069" s="69">
        <v>2010</v>
      </c>
      <c r="C1069" s="74">
        <v>430428203</v>
      </c>
      <c r="D1069" s="75">
        <v>577435543</v>
      </c>
      <c r="E1069" s="74">
        <v>735410351</v>
      </c>
      <c r="F1069" s="74">
        <v>21384229</v>
      </c>
      <c r="G1069" s="71">
        <f t="shared" si="47"/>
        <v>1764658326</v>
      </c>
      <c r="H1069" s="60">
        <f>18530800+0</f>
        <v>18530800</v>
      </c>
      <c r="I1069" s="60" t="s">
        <v>402</v>
      </c>
    </row>
    <row r="1070" spans="1:9">
      <c r="A1070" s="68" t="s">
        <v>40</v>
      </c>
      <c r="B1070" s="69">
        <v>2011</v>
      </c>
      <c r="C1070" s="74">
        <v>419223815</v>
      </c>
      <c r="D1070" s="75">
        <v>578078547</v>
      </c>
      <c r="E1070" s="74">
        <v>756679630.63</v>
      </c>
      <c r="F1070" s="74">
        <v>32971875</v>
      </c>
      <c r="G1070" s="71">
        <f t="shared" si="47"/>
        <v>1786953867.6300001</v>
      </c>
      <c r="H1070" s="60">
        <v>20683787</v>
      </c>
      <c r="I1070" s="60" t="s">
        <v>402</v>
      </c>
    </row>
    <row r="1071" spans="1:9">
      <c r="A1071" s="68" t="s">
        <v>40</v>
      </c>
      <c r="B1071" s="69">
        <v>2012</v>
      </c>
      <c r="C1071" s="74">
        <v>446937972</v>
      </c>
      <c r="D1071" s="75">
        <v>693026956</v>
      </c>
      <c r="E1071" s="74">
        <v>493693477</v>
      </c>
      <c r="F1071" s="74">
        <v>41890019</v>
      </c>
      <c r="G1071" s="71">
        <f t="shared" si="47"/>
        <v>1675548424</v>
      </c>
      <c r="H1071" s="60">
        <v>18044599</v>
      </c>
      <c r="I1071" s="60" t="s">
        <v>402</v>
      </c>
    </row>
    <row r="1072" spans="1:9">
      <c r="A1072" s="68"/>
      <c r="C1072" s="70"/>
      <c r="D1072" s="70"/>
      <c r="E1072" s="70"/>
      <c r="F1072" s="70"/>
      <c r="G1072" s="76"/>
      <c r="I1072" s="72"/>
    </row>
    <row r="1073" spans="1:9">
      <c r="A1073" s="68" t="s">
        <v>41</v>
      </c>
      <c r="B1073" s="69">
        <v>1988</v>
      </c>
      <c r="C1073" s="70">
        <v>808452560</v>
      </c>
      <c r="D1073" s="70">
        <v>346192899</v>
      </c>
      <c r="E1073" s="70">
        <v>819627720</v>
      </c>
      <c r="F1073" s="70">
        <v>0</v>
      </c>
      <c r="G1073" s="71">
        <f>SUM(C1073:F1073)</f>
        <v>1974273179</v>
      </c>
      <c r="H1073" s="60">
        <v>0</v>
      </c>
      <c r="I1073" s="72"/>
    </row>
    <row r="1074" spans="1:9">
      <c r="A1074" s="68" t="s">
        <v>41</v>
      </c>
      <c r="B1074" s="69">
        <v>1989</v>
      </c>
      <c r="C1074" s="70">
        <v>814318036</v>
      </c>
      <c r="D1074" s="70">
        <v>337981640</v>
      </c>
      <c r="E1074" s="70">
        <v>875250418</v>
      </c>
      <c r="F1074" s="70">
        <v>0</v>
      </c>
      <c r="G1074" s="71">
        <f t="shared" ref="G1074:G1097" si="48">SUM(C1074:F1074)</f>
        <v>2027550094</v>
      </c>
      <c r="H1074" s="60">
        <v>0</v>
      </c>
      <c r="I1074" s="72"/>
    </row>
    <row r="1075" spans="1:9">
      <c r="A1075" s="68" t="s">
        <v>41</v>
      </c>
      <c r="B1075" s="69">
        <v>1990</v>
      </c>
      <c r="C1075" s="70">
        <v>880477875</v>
      </c>
      <c r="D1075" s="70">
        <v>476727196.19999999</v>
      </c>
      <c r="E1075" s="70">
        <v>1005882561</v>
      </c>
      <c r="F1075" s="70">
        <v>0</v>
      </c>
      <c r="G1075" s="71">
        <f t="shared" si="48"/>
        <v>2363087632.1999998</v>
      </c>
      <c r="H1075" s="60">
        <v>0</v>
      </c>
      <c r="I1075" s="72"/>
    </row>
    <row r="1076" spans="1:9">
      <c r="A1076" s="68" t="s">
        <v>41</v>
      </c>
      <c r="B1076" s="69">
        <v>1991</v>
      </c>
      <c r="C1076" s="70">
        <v>930638160</v>
      </c>
      <c r="D1076" s="70">
        <v>443003035</v>
      </c>
      <c r="E1076" s="70">
        <v>984931346</v>
      </c>
      <c r="F1076" s="70">
        <v>0</v>
      </c>
      <c r="G1076" s="71">
        <f t="shared" si="48"/>
        <v>2358572541</v>
      </c>
      <c r="H1076" s="60">
        <v>0</v>
      </c>
      <c r="I1076" s="72"/>
    </row>
    <row r="1077" spans="1:9">
      <c r="A1077" s="68" t="s">
        <v>41</v>
      </c>
      <c r="B1077" s="69">
        <v>1992</v>
      </c>
      <c r="C1077" s="70">
        <v>970732687</v>
      </c>
      <c r="D1077" s="70">
        <v>431429092.83999997</v>
      </c>
      <c r="E1077" s="70">
        <v>1020691852</v>
      </c>
      <c r="F1077" s="70">
        <v>0</v>
      </c>
      <c r="G1077" s="71">
        <f t="shared" si="48"/>
        <v>2422853631.8400002</v>
      </c>
      <c r="H1077" s="60">
        <v>0</v>
      </c>
      <c r="I1077" s="72"/>
    </row>
    <row r="1078" spans="1:9">
      <c r="A1078" s="68" t="s">
        <v>41</v>
      </c>
      <c r="B1078" s="69">
        <v>1993</v>
      </c>
      <c r="C1078" s="70">
        <v>1053428777</v>
      </c>
      <c r="D1078" s="70">
        <v>431367337</v>
      </c>
      <c r="E1078" s="70">
        <v>1085608064</v>
      </c>
      <c r="F1078" s="70">
        <v>0</v>
      </c>
      <c r="G1078" s="71">
        <f t="shared" si="48"/>
        <v>2570404178</v>
      </c>
      <c r="H1078" s="60">
        <v>0</v>
      </c>
      <c r="I1078" s="72"/>
    </row>
    <row r="1079" spans="1:9">
      <c r="A1079" s="68" t="s">
        <v>41</v>
      </c>
      <c r="B1079" s="69">
        <v>1994</v>
      </c>
      <c r="C1079" s="70">
        <v>1135146769</v>
      </c>
      <c r="D1079" s="70">
        <v>585195477</v>
      </c>
      <c r="E1079" s="70">
        <v>1121728041</v>
      </c>
      <c r="F1079" s="70">
        <v>0</v>
      </c>
      <c r="G1079" s="71">
        <f t="shared" si="48"/>
        <v>2842070287</v>
      </c>
      <c r="H1079" s="60">
        <v>0</v>
      </c>
      <c r="I1079" s="72"/>
    </row>
    <row r="1080" spans="1:9">
      <c r="A1080" s="68" t="s">
        <v>41</v>
      </c>
      <c r="B1080" s="69">
        <v>1995</v>
      </c>
      <c r="C1080" s="70">
        <v>1209662608</v>
      </c>
      <c r="D1080" s="70">
        <v>528614246</v>
      </c>
      <c r="E1080" s="70">
        <v>1163662102</v>
      </c>
      <c r="F1080" s="70">
        <v>0</v>
      </c>
      <c r="G1080" s="71">
        <f t="shared" si="48"/>
        <v>2901938956</v>
      </c>
      <c r="H1080" s="60">
        <v>0</v>
      </c>
      <c r="I1080" s="72"/>
    </row>
    <row r="1081" spans="1:9">
      <c r="A1081" s="68" t="s">
        <v>41</v>
      </c>
      <c r="B1081" s="69">
        <v>1996</v>
      </c>
      <c r="C1081" s="70">
        <v>1134564209</v>
      </c>
      <c r="D1081" s="70">
        <v>450933838</v>
      </c>
      <c r="E1081" s="70">
        <v>1239784959</v>
      </c>
      <c r="F1081" s="70">
        <v>0</v>
      </c>
      <c r="G1081" s="71">
        <f t="shared" si="48"/>
        <v>2825283006</v>
      </c>
      <c r="H1081" s="60">
        <v>0</v>
      </c>
      <c r="I1081" s="72"/>
    </row>
    <row r="1082" spans="1:9">
      <c r="A1082" s="68" t="s">
        <v>41</v>
      </c>
      <c r="B1082" s="69">
        <v>1997</v>
      </c>
      <c r="C1082" s="70">
        <v>1119268528</v>
      </c>
      <c r="D1082" s="70">
        <v>513078474</v>
      </c>
      <c r="E1082" s="70">
        <v>1315429048</v>
      </c>
      <c r="F1082" s="70">
        <v>0</v>
      </c>
      <c r="G1082" s="71">
        <f t="shared" si="48"/>
        <v>2947776050</v>
      </c>
      <c r="H1082" s="60">
        <v>0</v>
      </c>
      <c r="I1082" s="72"/>
    </row>
    <row r="1083" spans="1:9">
      <c r="A1083" s="68" t="s">
        <v>41</v>
      </c>
      <c r="B1083" s="69">
        <v>1998</v>
      </c>
      <c r="C1083" s="70">
        <v>1217115119</v>
      </c>
      <c r="D1083" s="70">
        <v>526140202</v>
      </c>
      <c r="E1083" s="70">
        <v>1400686753</v>
      </c>
      <c r="F1083" s="70">
        <v>0</v>
      </c>
      <c r="G1083" s="71">
        <f t="shared" si="48"/>
        <v>3143942074</v>
      </c>
      <c r="H1083" s="60">
        <v>0</v>
      </c>
      <c r="I1083" s="72"/>
    </row>
    <row r="1084" spans="1:9">
      <c r="A1084" s="68" t="s">
        <v>41</v>
      </c>
      <c r="B1084" s="69">
        <v>1999</v>
      </c>
      <c r="C1084" s="70">
        <v>1257134727</v>
      </c>
      <c r="D1084" s="70">
        <v>776680609</v>
      </c>
      <c r="E1084" s="70">
        <v>1476502636</v>
      </c>
      <c r="F1084" s="70">
        <v>0</v>
      </c>
      <c r="G1084" s="71">
        <f t="shared" si="48"/>
        <v>3510317972</v>
      </c>
      <c r="H1084" s="60">
        <v>0</v>
      </c>
      <c r="I1084" s="72"/>
    </row>
    <row r="1085" spans="1:9">
      <c r="A1085" s="68" t="s">
        <v>41</v>
      </c>
      <c r="B1085" s="69">
        <v>2000</v>
      </c>
      <c r="C1085" s="70">
        <v>1234999145</v>
      </c>
      <c r="D1085" s="70">
        <v>802629737</v>
      </c>
      <c r="E1085" s="70">
        <v>1581222394</v>
      </c>
      <c r="F1085" s="70">
        <v>0</v>
      </c>
      <c r="G1085" s="71">
        <f t="shared" si="48"/>
        <v>3618851276</v>
      </c>
      <c r="H1085" s="60">
        <v>0</v>
      </c>
      <c r="I1085" s="72"/>
    </row>
    <row r="1086" spans="1:9">
      <c r="A1086" s="68" t="s">
        <v>41</v>
      </c>
      <c r="B1086" s="69">
        <v>2001</v>
      </c>
      <c r="C1086" s="70">
        <v>1295315977</v>
      </c>
      <c r="D1086" s="70">
        <v>1166497124</v>
      </c>
      <c r="E1086" s="70">
        <v>1703624206</v>
      </c>
      <c r="F1086" s="70">
        <v>0</v>
      </c>
      <c r="G1086" s="71">
        <f t="shared" si="48"/>
        <v>4165437307</v>
      </c>
      <c r="H1086" s="60">
        <v>0</v>
      </c>
      <c r="I1086" s="72"/>
    </row>
    <row r="1087" spans="1:9">
      <c r="A1087" s="68" t="s">
        <v>41</v>
      </c>
      <c r="B1087" s="69">
        <v>2002</v>
      </c>
      <c r="C1087" s="70">
        <v>1261387093</v>
      </c>
      <c r="D1087" s="70">
        <v>1845580369</v>
      </c>
      <c r="E1087" s="70">
        <v>1862783234</v>
      </c>
      <c r="F1087" s="70">
        <v>0</v>
      </c>
      <c r="G1087" s="71">
        <f t="shared" si="48"/>
        <v>4969750696</v>
      </c>
      <c r="H1087" s="60">
        <v>0</v>
      </c>
      <c r="I1087" s="72"/>
    </row>
    <row r="1088" spans="1:9">
      <c r="A1088" s="68" t="s">
        <v>41</v>
      </c>
      <c r="B1088" s="69">
        <v>2003</v>
      </c>
      <c r="C1088" s="73">
        <v>1329171095</v>
      </c>
      <c r="D1088" s="73">
        <v>1551652692</v>
      </c>
      <c r="E1088" s="73">
        <v>2009881222</v>
      </c>
      <c r="F1088" s="73">
        <v>0</v>
      </c>
      <c r="G1088" s="71">
        <f t="shared" si="48"/>
        <v>4890705009</v>
      </c>
      <c r="H1088" s="60">
        <v>0</v>
      </c>
      <c r="I1088" s="72"/>
    </row>
    <row r="1089" spans="1:9">
      <c r="A1089" s="68" t="s">
        <v>41</v>
      </c>
      <c r="B1089" s="69">
        <v>2004</v>
      </c>
      <c r="C1089" s="73">
        <v>1416843063</v>
      </c>
      <c r="D1089" s="73">
        <v>1480694683</v>
      </c>
      <c r="E1089" s="73">
        <v>2133081032</v>
      </c>
      <c r="F1089" s="73">
        <v>0</v>
      </c>
      <c r="G1089" s="71">
        <f t="shared" si="48"/>
        <v>5030618778</v>
      </c>
      <c r="H1089" s="60">
        <v>0</v>
      </c>
      <c r="I1089" s="72"/>
    </row>
    <row r="1090" spans="1:9">
      <c r="A1090" s="68" t="s">
        <v>41</v>
      </c>
      <c r="B1090" s="69">
        <v>2005</v>
      </c>
      <c r="C1090" s="73">
        <v>1390839284</v>
      </c>
      <c r="D1090" s="73">
        <v>1414756410</v>
      </c>
      <c r="E1090" s="73">
        <v>2356388761.5599899</v>
      </c>
      <c r="F1090" s="73">
        <v>0</v>
      </c>
      <c r="G1090" s="71">
        <f t="shared" si="48"/>
        <v>5161984455.5599899</v>
      </c>
      <c r="H1090" s="60">
        <v>0</v>
      </c>
      <c r="I1090" s="72"/>
    </row>
    <row r="1091" spans="1:9">
      <c r="A1091" s="68" t="s">
        <v>41</v>
      </c>
      <c r="B1091" s="69">
        <v>2006</v>
      </c>
      <c r="C1091" s="74">
        <v>1508302360</v>
      </c>
      <c r="D1091" s="74">
        <v>1586695199</v>
      </c>
      <c r="E1091" s="74">
        <v>2619903242</v>
      </c>
      <c r="F1091" s="74">
        <v>0</v>
      </c>
      <c r="G1091" s="71">
        <f t="shared" si="48"/>
        <v>5714900801</v>
      </c>
      <c r="H1091" s="60">
        <v>0</v>
      </c>
      <c r="I1091" s="72"/>
    </row>
    <row r="1092" spans="1:9">
      <c r="A1092" s="68" t="s">
        <v>41</v>
      </c>
      <c r="B1092" s="69">
        <v>2007</v>
      </c>
      <c r="C1092" s="74">
        <v>1575162470</v>
      </c>
      <c r="D1092" s="74">
        <v>1578173954</v>
      </c>
      <c r="E1092" s="74">
        <v>3211067351</v>
      </c>
      <c r="F1092" s="74">
        <v>0</v>
      </c>
      <c r="G1092" s="71">
        <f t="shared" si="48"/>
        <v>6364403775</v>
      </c>
      <c r="H1092" s="60">
        <v>0</v>
      </c>
      <c r="I1092" s="72"/>
    </row>
    <row r="1093" spans="1:9">
      <c r="A1093" s="68" t="s">
        <v>41</v>
      </c>
      <c r="B1093" s="69">
        <v>2008</v>
      </c>
      <c r="C1093" s="74">
        <v>1646066616</v>
      </c>
      <c r="D1093" s="74">
        <v>2242256879</v>
      </c>
      <c r="E1093" s="74">
        <v>3805257119</v>
      </c>
      <c r="F1093" s="74">
        <v>0</v>
      </c>
      <c r="G1093" s="71">
        <f t="shared" si="48"/>
        <v>7693580614</v>
      </c>
      <c r="H1093" s="60">
        <v>0</v>
      </c>
      <c r="I1093" s="72"/>
    </row>
    <row r="1094" spans="1:9">
      <c r="A1094" s="68" t="s">
        <v>41</v>
      </c>
      <c r="B1094" s="69">
        <v>2009</v>
      </c>
      <c r="C1094" s="74">
        <v>1674205107</v>
      </c>
      <c r="D1094" s="74">
        <v>2243268235</v>
      </c>
      <c r="E1094" s="74">
        <v>4014438638</v>
      </c>
      <c r="F1094" s="74">
        <v>0</v>
      </c>
      <c r="G1094" s="71">
        <f t="shared" si="48"/>
        <v>7931911980</v>
      </c>
      <c r="H1094" s="60">
        <v>0</v>
      </c>
      <c r="I1094" s="72"/>
    </row>
    <row r="1095" spans="1:9">
      <c r="A1095" s="68" t="s">
        <v>41</v>
      </c>
      <c r="B1095" s="69">
        <v>2010</v>
      </c>
      <c r="C1095" s="74">
        <v>1717720032</v>
      </c>
      <c r="D1095" s="74">
        <v>2927415498</v>
      </c>
      <c r="E1095" s="74">
        <v>3827478465</v>
      </c>
      <c r="F1095" s="74">
        <v>0</v>
      </c>
      <c r="G1095" s="71">
        <f t="shared" si="48"/>
        <v>8472613995</v>
      </c>
      <c r="H1095" s="60">
        <v>0</v>
      </c>
      <c r="I1095" s="72"/>
    </row>
    <row r="1096" spans="1:9">
      <c r="A1096" s="68" t="s">
        <v>41</v>
      </c>
      <c r="B1096" s="69">
        <v>2011</v>
      </c>
      <c r="C1096" s="74">
        <v>1796389183</v>
      </c>
      <c r="D1096" s="74">
        <v>2112853248</v>
      </c>
      <c r="E1096" s="74">
        <v>4065516773.0599999</v>
      </c>
      <c r="F1096" s="74">
        <v>0</v>
      </c>
      <c r="G1096" s="71">
        <f t="shared" si="48"/>
        <v>7974759204.0599995</v>
      </c>
      <c r="H1096" s="60">
        <v>0</v>
      </c>
      <c r="I1096" s="72"/>
    </row>
    <row r="1097" spans="1:9">
      <c r="A1097" s="68" t="s">
        <v>41</v>
      </c>
      <c r="B1097" s="69">
        <v>2012</v>
      </c>
      <c r="C1097" s="74">
        <v>1910294440</v>
      </c>
      <c r="D1097" s="74">
        <v>2456078533</v>
      </c>
      <c r="E1097" s="74">
        <v>4259547737</v>
      </c>
      <c r="F1097" s="74">
        <v>0</v>
      </c>
      <c r="G1097" s="71">
        <f t="shared" si="48"/>
        <v>8625920710</v>
      </c>
      <c r="H1097" s="60">
        <v>0</v>
      </c>
      <c r="I1097" s="72"/>
    </row>
    <row r="1098" spans="1:9">
      <c r="A1098" s="68"/>
      <c r="C1098" s="70"/>
      <c r="D1098" s="70"/>
      <c r="E1098" s="70"/>
      <c r="F1098" s="70"/>
      <c r="G1098" s="76"/>
      <c r="I1098" s="72"/>
    </row>
    <row r="1099" spans="1:9">
      <c r="A1099" s="68" t="s">
        <v>42</v>
      </c>
      <c r="B1099" s="69">
        <v>1988</v>
      </c>
      <c r="C1099" s="70">
        <v>171874879</v>
      </c>
      <c r="D1099" s="70">
        <v>160470797</v>
      </c>
      <c r="E1099" s="70">
        <v>224310316</v>
      </c>
      <c r="F1099" s="70">
        <v>0</v>
      </c>
      <c r="G1099" s="71">
        <f>SUM(C1099:F1099)</f>
        <v>556655992</v>
      </c>
      <c r="H1099" s="60">
        <v>0</v>
      </c>
      <c r="I1099" s="72"/>
    </row>
    <row r="1100" spans="1:9">
      <c r="A1100" s="68" t="s">
        <v>42</v>
      </c>
      <c r="B1100" s="69">
        <v>1989</v>
      </c>
      <c r="C1100" s="70">
        <v>164165888</v>
      </c>
      <c r="D1100" s="70">
        <v>154402927</v>
      </c>
      <c r="E1100" s="70">
        <v>239395164</v>
      </c>
      <c r="F1100" s="70">
        <v>0</v>
      </c>
      <c r="G1100" s="71">
        <f t="shared" ref="G1100:G1123" si="49">SUM(C1100:F1100)</f>
        <v>557963979</v>
      </c>
      <c r="H1100" s="60">
        <v>0</v>
      </c>
      <c r="I1100" s="72"/>
    </row>
    <row r="1101" spans="1:9">
      <c r="A1101" s="68" t="s">
        <v>42</v>
      </c>
      <c r="B1101" s="69">
        <v>1990</v>
      </c>
      <c r="C1101" s="70">
        <v>167821811</v>
      </c>
      <c r="D1101" s="70">
        <v>165387971.84</v>
      </c>
      <c r="E1101" s="70">
        <v>254570615</v>
      </c>
      <c r="F1101" s="70">
        <v>0</v>
      </c>
      <c r="G1101" s="71">
        <f t="shared" si="49"/>
        <v>587780397.84000003</v>
      </c>
      <c r="H1101" s="60">
        <v>0</v>
      </c>
      <c r="I1101" s="72"/>
    </row>
    <row r="1102" spans="1:9">
      <c r="A1102" s="68" t="s">
        <v>42</v>
      </c>
      <c r="B1102" s="69">
        <v>1991</v>
      </c>
      <c r="C1102" s="70">
        <v>179567209</v>
      </c>
      <c r="D1102" s="70">
        <v>181276707</v>
      </c>
      <c r="E1102" s="70">
        <v>266294144</v>
      </c>
      <c r="F1102" s="70">
        <v>0</v>
      </c>
      <c r="G1102" s="71">
        <f t="shared" si="49"/>
        <v>627138060</v>
      </c>
      <c r="H1102" s="60">
        <v>0</v>
      </c>
      <c r="I1102" s="72"/>
    </row>
    <row r="1103" spans="1:9">
      <c r="A1103" s="68" t="s">
        <v>42</v>
      </c>
      <c r="B1103" s="69">
        <v>1992</v>
      </c>
      <c r="C1103" s="70">
        <v>189295694</v>
      </c>
      <c r="D1103" s="70">
        <v>177520864.19999999</v>
      </c>
      <c r="E1103" s="70">
        <v>293691882</v>
      </c>
      <c r="F1103" s="70">
        <v>0</v>
      </c>
      <c r="G1103" s="71">
        <f t="shared" si="49"/>
        <v>660508440.20000005</v>
      </c>
      <c r="H1103" s="60">
        <v>0</v>
      </c>
      <c r="I1103" s="72"/>
    </row>
    <row r="1104" spans="1:9">
      <c r="A1104" s="68" t="s">
        <v>42</v>
      </c>
      <c r="B1104" s="69">
        <v>1993</v>
      </c>
      <c r="C1104" s="70">
        <v>184534209</v>
      </c>
      <c r="D1104" s="70">
        <v>154806390</v>
      </c>
      <c r="E1104" s="70">
        <v>309129040</v>
      </c>
      <c r="F1104" s="70">
        <v>0</v>
      </c>
      <c r="G1104" s="71">
        <f t="shared" si="49"/>
        <v>648469639</v>
      </c>
      <c r="H1104" s="60">
        <v>0</v>
      </c>
      <c r="I1104" s="72"/>
    </row>
    <row r="1105" spans="1:9">
      <c r="A1105" s="68" t="s">
        <v>42</v>
      </c>
      <c r="B1105" s="69">
        <v>1994</v>
      </c>
      <c r="C1105" s="70">
        <v>204777549</v>
      </c>
      <c r="D1105" s="70">
        <v>198188809</v>
      </c>
      <c r="E1105" s="70">
        <v>336796117</v>
      </c>
      <c r="F1105" s="70">
        <v>0</v>
      </c>
      <c r="G1105" s="71">
        <f t="shared" si="49"/>
        <v>739762475</v>
      </c>
      <c r="H1105" s="60">
        <v>0</v>
      </c>
      <c r="I1105" s="72"/>
    </row>
    <row r="1106" spans="1:9">
      <c r="A1106" s="68" t="s">
        <v>42</v>
      </c>
      <c r="B1106" s="69">
        <v>1995</v>
      </c>
      <c r="C1106" s="70">
        <v>223151747</v>
      </c>
      <c r="D1106" s="70">
        <v>199043824</v>
      </c>
      <c r="E1106" s="70">
        <v>315070850</v>
      </c>
      <c r="F1106" s="70">
        <v>0</v>
      </c>
      <c r="G1106" s="71">
        <f t="shared" si="49"/>
        <v>737266421</v>
      </c>
      <c r="H1106" s="60">
        <v>0</v>
      </c>
      <c r="I1106" s="72"/>
    </row>
    <row r="1107" spans="1:9">
      <c r="A1107" s="68" t="s">
        <v>42</v>
      </c>
      <c r="B1107" s="69">
        <v>1996</v>
      </c>
      <c r="C1107" s="70">
        <v>231483651</v>
      </c>
      <c r="D1107" s="70">
        <v>145665585</v>
      </c>
      <c r="E1107" s="70">
        <v>351139255</v>
      </c>
      <c r="F1107" s="70">
        <v>0</v>
      </c>
      <c r="G1107" s="71">
        <f t="shared" si="49"/>
        <v>728288491</v>
      </c>
      <c r="H1107" s="60">
        <v>0</v>
      </c>
      <c r="I1107" s="72"/>
    </row>
    <row r="1108" spans="1:9">
      <c r="A1108" s="68" t="s">
        <v>42</v>
      </c>
      <c r="B1108" s="69">
        <v>1997</v>
      </c>
      <c r="C1108" s="70">
        <v>233356861</v>
      </c>
      <c r="D1108" s="70">
        <v>153521535</v>
      </c>
      <c r="E1108" s="70">
        <v>415557589</v>
      </c>
      <c r="F1108" s="70">
        <v>0</v>
      </c>
      <c r="G1108" s="71">
        <f t="shared" si="49"/>
        <v>802435985</v>
      </c>
      <c r="H1108" s="60">
        <v>0</v>
      </c>
      <c r="I1108" s="72"/>
    </row>
    <row r="1109" spans="1:9">
      <c r="A1109" s="68" t="s">
        <v>42</v>
      </c>
      <c r="B1109" s="69">
        <v>1998</v>
      </c>
      <c r="C1109" s="70">
        <v>225174978</v>
      </c>
      <c r="D1109" s="70">
        <v>143147379</v>
      </c>
      <c r="E1109" s="70">
        <v>410864385</v>
      </c>
      <c r="F1109" s="70">
        <v>0</v>
      </c>
      <c r="G1109" s="71">
        <f t="shared" si="49"/>
        <v>779186742</v>
      </c>
      <c r="H1109" s="60">
        <v>0</v>
      </c>
      <c r="I1109" s="72"/>
    </row>
    <row r="1110" spans="1:9">
      <c r="A1110" s="68" t="s">
        <v>42</v>
      </c>
      <c r="B1110" s="69">
        <v>1999</v>
      </c>
      <c r="C1110" s="70">
        <v>235379857</v>
      </c>
      <c r="D1110" s="70">
        <v>213865986</v>
      </c>
      <c r="E1110" s="70">
        <v>445546362</v>
      </c>
      <c r="F1110" s="70">
        <v>0</v>
      </c>
      <c r="G1110" s="71">
        <f t="shared" si="49"/>
        <v>894792205</v>
      </c>
      <c r="H1110" s="60">
        <v>0</v>
      </c>
      <c r="I1110" s="72"/>
    </row>
    <row r="1111" spans="1:9">
      <c r="A1111" s="68" t="s">
        <v>42</v>
      </c>
      <c r="B1111" s="69">
        <v>2000</v>
      </c>
      <c r="C1111" s="70">
        <v>239961279</v>
      </c>
      <c r="D1111" s="70">
        <v>218007368</v>
      </c>
      <c r="E1111" s="70">
        <v>466355760</v>
      </c>
      <c r="F1111" s="70">
        <v>0</v>
      </c>
      <c r="G1111" s="71">
        <f t="shared" si="49"/>
        <v>924324407</v>
      </c>
      <c r="H1111" s="60">
        <v>0</v>
      </c>
      <c r="I1111" s="72"/>
    </row>
    <row r="1112" spans="1:9">
      <c r="A1112" s="68" t="s">
        <v>42</v>
      </c>
      <c r="B1112" s="69">
        <v>2001</v>
      </c>
      <c r="C1112" s="70">
        <v>245809542</v>
      </c>
      <c r="D1112" s="70">
        <v>292699443</v>
      </c>
      <c r="E1112" s="70">
        <v>511256771</v>
      </c>
      <c r="F1112" s="70">
        <v>0</v>
      </c>
      <c r="G1112" s="71">
        <f t="shared" si="49"/>
        <v>1049765756</v>
      </c>
      <c r="H1112" s="60">
        <v>0</v>
      </c>
      <c r="I1112" s="72"/>
    </row>
    <row r="1113" spans="1:9">
      <c r="A1113" s="68" t="s">
        <v>42</v>
      </c>
      <c r="B1113" s="69">
        <v>2002</v>
      </c>
      <c r="C1113" s="70">
        <v>283298104</v>
      </c>
      <c r="D1113" s="70">
        <v>359384401</v>
      </c>
      <c r="E1113" s="70">
        <v>524895916</v>
      </c>
      <c r="F1113" s="70">
        <v>0</v>
      </c>
      <c r="G1113" s="71">
        <f t="shared" si="49"/>
        <v>1167578421</v>
      </c>
      <c r="H1113" s="60">
        <v>0</v>
      </c>
      <c r="I1113" s="72"/>
    </row>
    <row r="1114" spans="1:9">
      <c r="A1114" s="68" t="s">
        <v>42</v>
      </c>
      <c r="B1114" s="69">
        <v>2003</v>
      </c>
      <c r="C1114" s="73">
        <v>269449663</v>
      </c>
      <c r="D1114" s="73">
        <v>315582735</v>
      </c>
      <c r="E1114" s="73">
        <v>566158179</v>
      </c>
      <c r="F1114" s="70">
        <v>0</v>
      </c>
      <c r="G1114" s="71">
        <f t="shared" si="49"/>
        <v>1151190577</v>
      </c>
      <c r="H1114" s="60">
        <v>0</v>
      </c>
    </row>
    <row r="1115" spans="1:9">
      <c r="A1115" s="68" t="s">
        <v>42</v>
      </c>
      <c r="B1115" s="69">
        <v>2004</v>
      </c>
      <c r="C1115" s="73">
        <v>306844117</v>
      </c>
      <c r="D1115" s="73">
        <v>294072377</v>
      </c>
      <c r="E1115" s="73">
        <v>603701228</v>
      </c>
      <c r="F1115" s="70">
        <v>0</v>
      </c>
      <c r="G1115" s="71">
        <f t="shared" si="49"/>
        <v>1204617722</v>
      </c>
      <c r="H1115" s="60">
        <v>0</v>
      </c>
    </row>
    <row r="1116" spans="1:9">
      <c r="A1116" s="68" t="s">
        <v>42</v>
      </c>
      <c r="B1116" s="69">
        <v>2005</v>
      </c>
      <c r="C1116" s="73">
        <v>319199205</v>
      </c>
      <c r="D1116" s="73">
        <v>242601842</v>
      </c>
      <c r="E1116" s="73">
        <v>641529591.55999899</v>
      </c>
      <c r="F1116" s="70">
        <v>0</v>
      </c>
      <c r="G1116" s="71">
        <f t="shared" si="49"/>
        <v>1203330638.559999</v>
      </c>
      <c r="H1116" s="60">
        <v>0</v>
      </c>
    </row>
    <row r="1117" spans="1:9">
      <c r="A1117" s="68" t="s">
        <v>42</v>
      </c>
      <c r="B1117" s="69">
        <v>2006</v>
      </c>
      <c r="C1117" s="74">
        <v>338323244</v>
      </c>
      <c r="D1117" s="74">
        <v>303115714</v>
      </c>
      <c r="E1117" s="74">
        <v>705336064</v>
      </c>
      <c r="F1117" s="74">
        <v>0</v>
      </c>
      <c r="G1117" s="71">
        <f t="shared" si="49"/>
        <v>1346775022</v>
      </c>
      <c r="H1117" s="60">
        <v>0</v>
      </c>
    </row>
    <row r="1118" spans="1:9">
      <c r="A1118" s="68" t="s">
        <v>42</v>
      </c>
      <c r="B1118" s="69">
        <v>2007</v>
      </c>
      <c r="C1118" s="74">
        <v>371442131</v>
      </c>
      <c r="D1118" s="74">
        <v>321824767</v>
      </c>
      <c r="E1118" s="74">
        <v>758157353</v>
      </c>
      <c r="F1118" s="74">
        <v>0</v>
      </c>
      <c r="G1118" s="71">
        <f t="shared" si="49"/>
        <v>1451424251</v>
      </c>
      <c r="H1118" s="60">
        <v>0</v>
      </c>
    </row>
    <row r="1119" spans="1:9">
      <c r="A1119" s="68" t="s">
        <v>42</v>
      </c>
      <c r="B1119" s="69">
        <v>2008</v>
      </c>
      <c r="C1119" s="74">
        <v>417072791</v>
      </c>
      <c r="D1119" s="74">
        <v>391320986</v>
      </c>
      <c r="E1119" s="74">
        <v>789455310</v>
      </c>
      <c r="F1119" s="74">
        <v>0</v>
      </c>
      <c r="G1119" s="71">
        <f t="shared" si="49"/>
        <v>1597849087</v>
      </c>
      <c r="H1119" s="60">
        <v>0</v>
      </c>
    </row>
    <row r="1120" spans="1:9">
      <c r="A1120" s="68" t="s">
        <v>42</v>
      </c>
      <c r="B1120" s="69">
        <v>2009</v>
      </c>
      <c r="C1120" s="74">
        <v>450007311</v>
      </c>
      <c r="D1120" s="74">
        <v>326903554</v>
      </c>
      <c r="E1120" s="74">
        <v>824663481</v>
      </c>
      <c r="F1120" s="74">
        <v>0</v>
      </c>
      <c r="G1120" s="71">
        <f t="shared" si="49"/>
        <v>1601574346</v>
      </c>
      <c r="H1120" s="60">
        <v>0</v>
      </c>
    </row>
    <row r="1121" spans="1:9">
      <c r="A1121" s="68" t="s">
        <v>42</v>
      </c>
      <c r="B1121" s="69">
        <v>2010</v>
      </c>
      <c r="C1121" s="74">
        <v>478518624</v>
      </c>
      <c r="D1121" s="74">
        <v>300380731</v>
      </c>
      <c r="E1121" s="74">
        <v>874503936</v>
      </c>
      <c r="F1121" s="74">
        <v>0</v>
      </c>
      <c r="G1121" s="71">
        <f t="shared" si="49"/>
        <v>1653403291</v>
      </c>
      <c r="H1121" s="60">
        <v>0</v>
      </c>
    </row>
    <row r="1122" spans="1:9">
      <c r="A1122" s="68" t="s">
        <v>42</v>
      </c>
      <c r="B1122" s="69">
        <v>2011</v>
      </c>
      <c r="C1122" s="74">
        <v>503248281</v>
      </c>
      <c r="D1122" s="74">
        <v>308337154</v>
      </c>
      <c r="E1122" s="74">
        <v>887867281.20000005</v>
      </c>
      <c r="F1122" s="74">
        <v>0</v>
      </c>
      <c r="G1122" s="71">
        <f t="shared" si="49"/>
        <v>1699452716.2</v>
      </c>
      <c r="H1122" s="60">
        <v>0</v>
      </c>
    </row>
    <row r="1123" spans="1:9">
      <c r="A1123" s="68" t="s">
        <v>42</v>
      </c>
      <c r="B1123" s="69">
        <v>2012</v>
      </c>
      <c r="C1123" s="74">
        <v>548865772</v>
      </c>
      <c r="D1123" s="74">
        <v>360400578</v>
      </c>
      <c r="E1123" s="74">
        <v>955893219</v>
      </c>
      <c r="F1123" s="74"/>
      <c r="G1123" s="71">
        <f t="shared" si="49"/>
        <v>1865159569</v>
      </c>
      <c r="H1123" s="60">
        <v>0</v>
      </c>
    </row>
    <row r="1124" spans="1:9">
      <c r="A1124" s="68"/>
      <c r="C1124" s="70"/>
      <c r="D1124" s="70"/>
      <c r="E1124" s="70"/>
      <c r="F1124" s="70"/>
      <c r="G1124" s="76"/>
      <c r="I1124" s="72"/>
    </row>
    <row r="1125" spans="1:9">
      <c r="A1125" s="68" t="s">
        <v>43</v>
      </c>
      <c r="B1125" s="69">
        <v>1988</v>
      </c>
      <c r="C1125" s="70">
        <v>1094456855</v>
      </c>
      <c r="D1125" s="70">
        <v>630847662</v>
      </c>
      <c r="E1125" s="70">
        <v>1132760117</v>
      </c>
      <c r="F1125" s="70">
        <v>0</v>
      </c>
      <c r="G1125" s="71">
        <f>SUM(C1125:F1125)</f>
        <v>2858064634</v>
      </c>
      <c r="H1125" s="60">
        <v>42513662</v>
      </c>
      <c r="I1125" s="72" t="s">
        <v>404</v>
      </c>
    </row>
    <row r="1126" spans="1:9">
      <c r="A1126" s="68" t="s">
        <v>43</v>
      </c>
      <c r="B1126" s="69">
        <v>1989</v>
      </c>
      <c r="C1126" s="70">
        <v>1103309502</v>
      </c>
      <c r="D1126" s="70">
        <v>695982293</v>
      </c>
      <c r="E1126" s="70">
        <v>1181216142</v>
      </c>
      <c r="F1126" s="70">
        <v>0</v>
      </c>
      <c r="G1126" s="71">
        <f t="shared" ref="G1126:G1149" si="50">SUM(C1126:F1126)</f>
        <v>2980507937</v>
      </c>
      <c r="H1126" s="60">
        <v>59314805</v>
      </c>
      <c r="I1126" s="72" t="s">
        <v>404</v>
      </c>
    </row>
    <row r="1127" spans="1:9">
      <c r="A1127" s="68" t="s">
        <v>43</v>
      </c>
      <c r="B1127" s="69">
        <v>1990</v>
      </c>
      <c r="C1127" s="70">
        <v>1155059260</v>
      </c>
      <c r="D1127" s="70">
        <v>835584984.44000006</v>
      </c>
      <c r="E1127" s="70">
        <v>1212050455</v>
      </c>
      <c r="F1127" s="70">
        <v>0</v>
      </c>
      <c r="G1127" s="71">
        <f t="shared" si="50"/>
        <v>3202694699.4400001</v>
      </c>
      <c r="H1127" s="60">
        <v>59500579</v>
      </c>
      <c r="I1127" s="72" t="s">
        <v>404</v>
      </c>
    </row>
    <row r="1128" spans="1:9">
      <c r="A1128" s="68" t="s">
        <v>43</v>
      </c>
      <c r="B1128" s="69">
        <v>1991</v>
      </c>
      <c r="C1128" s="70">
        <v>1255918023</v>
      </c>
      <c r="D1128" s="70">
        <v>763382831</v>
      </c>
      <c r="E1128" s="70">
        <v>1305663313</v>
      </c>
      <c r="F1128" s="70">
        <v>0</v>
      </c>
      <c r="G1128" s="71">
        <f t="shared" si="50"/>
        <v>3324964167</v>
      </c>
      <c r="H1128" s="60">
        <v>67284316</v>
      </c>
      <c r="I1128" s="72" t="s">
        <v>404</v>
      </c>
    </row>
    <row r="1129" spans="1:9">
      <c r="A1129" s="68" t="s">
        <v>43</v>
      </c>
      <c r="B1129" s="69">
        <v>1992</v>
      </c>
      <c r="C1129" s="70">
        <v>1344609250</v>
      </c>
      <c r="D1129" s="70">
        <v>840424831.96000004</v>
      </c>
      <c r="E1129" s="70">
        <v>1368966567</v>
      </c>
      <c r="F1129" s="70">
        <v>0</v>
      </c>
      <c r="G1129" s="71">
        <f t="shared" si="50"/>
        <v>3554000648.96</v>
      </c>
      <c r="H1129" s="60">
        <v>83202481</v>
      </c>
      <c r="I1129" s="72" t="s">
        <v>404</v>
      </c>
    </row>
    <row r="1130" spans="1:9">
      <c r="A1130" s="68" t="s">
        <v>43</v>
      </c>
      <c r="B1130" s="69">
        <v>1993</v>
      </c>
      <c r="C1130" s="70">
        <v>1400980664</v>
      </c>
      <c r="D1130" s="70">
        <v>883362163</v>
      </c>
      <c r="E1130" s="70">
        <v>1483713333</v>
      </c>
      <c r="F1130" s="70">
        <v>0</v>
      </c>
      <c r="G1130" s="71">
        <f t="shared" si="50"/>
        <v>3768056160</v>
      </c>
      <c r="H1130" s="60">
        <v>74961477</v>
      </c>
      <c r="I1130" s="72" t="s">
        <v>404</v>
      </c>
    </row>
    <row r="1131" spans="1:9">
      <c r="A1131" s="68" t="s">
        <v>43</v>
      </c>
      <c r="B1131" s="69">
        <v>1994</v>
      </c>
      <c r="C1131" s="70">
        <v>1560367985</v>
      </c>
      <c r="D1131" s="70">
        <v>1037462461</v>
      </c>
      <c r="E1131" s="70">
        <v>1549027334</v>
      </c>
      <c r="F1131" s="70">
        <v>0</v>
      </c>
      <c r="G1131" s="71">
        <f t="shared" si="50"/>
        <v>4146857780</v>
      </c>
      <c r="H1131" s="60">
        <v>82789359</v>
      </c>
      <c r="I1131" s="72" t="s">
        <v>404</v>
      </c>
    </row>
    <row r="1132" spans="1:9">
      <c r="A1132" s="68" t="s">
        <v>43</v>
      </c>
      <c r="B1132" s="69">
        <v>1995</v>
      </c>
      <c r="C1132" s="70">
        <v>1727962837</v>
      </c>
      <c r="D1132" s="70">
        <v>1047808902</v>
      </c>
      <c r="E1132" s="70">
        <v>3719779960</v>
      </c>
      <c r="F1132" s="70">
        <v>0</v>
      </c>
      <c r="G1132" s="71">
        <f t="shared" si="50"/>
        <v>6495551699</v>
      </c>
      <c r="H1132" s="60">
        <v>91703614</v>
      </c>
      <c r="I1132" s="72" t="s">
        <v>404</v>
      </c>
    </row>
    <row r="1133" spans="1:9">
      <c r="A1133" s="68" t="s">
        <v>43</v>
      </c>
      <c r="B1133" s="69">
        <v>1996</v>
      </c>
      <c r="C1133" s="70">
        <v>1607097663</v>
      </c>
      <c r="D1133" s="70">
        <v>899183122</v>
      </c>
      <c r="E1133" s="70">
        <v>3042149224</v>
      </c>
      <c r="F1133" s="70">
        <v>0</v>
      </c>
      <c r="G1133" s="71">
        <f t="shared" si="50"/>
        <v>5548430009</v>
      </c>
      <c r="H1133" s="60">
        <v>71669381</v>
      </c>
      <c r="I1133" s="72" t="s">
        <v>404</v>
      </c>
    </row>
    <row r="1134" spans="1:9">
      <c r="A1134" s="68" t="s">
        <v>43</v>
      </c>
      <c r="B1134" s="69">
        <v>1997</v>
      </c>
      <c r="C1134" s="70">
        <v>1675851142</v>
      </c>
      <c r="D1134" s="70">
        <v>1050846109</v>
      </c>
      <c r="E1134" s="70">
        <v>2399520536</v>
      </c>
      <c r="F1134" s="70">
        <v>0</v>
      </c>
      <c r="G1134" s="71">
        <f t="shared" si="50"/>
        <v>5126217787</v>
      </c>
      <c r="H1134" s="60">
        <v>74931317</v>
      </c>
      <c r="I1134" s="72" t="s">
        <v>404</v>
      </c>
    </row>
    <row r="1135" spans="1:9">
      <c r="A1135" s="68" t="s">
        <v>43</v>
      </c>
      <c r="B1135" s="69">
        <v>1998</v>
      </c>
      <c r="C1135" s="70">
        <v>1751128399</v>
      </c>
      <c r="D1135" s="70">
        <v>1054235470</v>
      </c>
      <c r="E1135" s="70">
        <v>2446290662</v>
      </c>
      <c r="F1135" s="70">
        <v>0</v>
      </c>
      <c r="G1135" s="71">
        <f t="shared" si="50"/>
        <v>5251654531</v>
      </c>
      <c r="H1135" s="60">
        <v>56840224</v>
      </c>
      <c r="I1135" s="72" t="s">
        <v>404</v>
      </c>
    </row>
    <row r="1136" spans="1:9">
      <c r="A1136" s="68" t="s">
        <v>43</v>
      </c>
      <c r="B1136" s="69">
        <v>1999</v>
      </c>
      <c r="C1136" s="70">
        <v>2047396226</v>
      </c>
      <c r="D1136" s="70">
        <v>1504172662</v>
      </c>
      <c r="E1136" s="70">
        <v>2691537939</v>
      </c>
      <c r="F1136" s="70">
        <v>0</v>
      </c>
      <c r="G1136" s="71">
        <f t="shared" si="50"/>
        <v>6243106827</v>
      </c>
      <c r="H1136" s="60">
        <v>59059716</v>
      </c>
      <c r="I1136" s="72" t="s">
        <v>404</v>
      </c>
    </row>
    <row r="1137" spans="1:9">
      <c r="A1137" s="68" t="s">
        <v>43</v>
      </c>
      <c r="B1137" s="69">
        <v>2000</v>
      </c>
      <c r="C1137" s="70">
        <v>1941843631</v>
      </c>
      <c r="D1137" s="70">
        <v>1993897874</v>
      </c>
      <c r="E1137" s="70">
        <v>2734710007</v>
      </c>
      <c r="F1137" s="70">
        <v>0</v>
      </c>
      <c r="G1137" s="71">
        <f t="shared" si="50"/>
        <v>6670451512</v>
      </c>
      <c r="H1137" s="60">
        <v>61462214</v>
      </c>
      <c r="I1137" s="72" t="s">
        <v>404</v>
      </c>
    </row>
    <row r="1138" spans="1:9">
      <c r="A1138" s="68" t="s">
        <v>43</v>
      </c>
      <c r="B1138" s="69">
        <v>2001</v>
      </c>
      <c r="C1138" s="70">
        <v>1827245940</v>
      </c>
      <c r="D1138" s="70">
        <v>2222183682</v>
      </c>
      <c r="E1138" s="70">
        <v>2947465238</v>
      </c>
      <c r="F1138" s="70"/>
      <c r="G1138" s="71">
        <f t="shared" si="50"/>
        <v>6996894860</v>
      </c>
      <c r="H1138" s="60">
        <v>91598965</v>
      </c>
      <c r="I1138" s="72" t="s">
        <v>404</v>
      </c>
    </row>
    <row r="1139" spans="1:9">
      <c r="A1139" s="68" t="s">
        <v>43</v>
      </c>
      <c r="B1139" s="69">
        <v>2002</v>
      </c>
      <c r="C1139" s="70">
        <v>1856272245</v>
      </c>
      <c r="D1139" s="70">
        <v>2787661531</v>
      </c>
      <c r="E1139" s="70">
        <v>3160529817</v>
      </c>
      <c r="F1139" s="70">
        <v>0</v>
      </c>
      <c r="G1139" s="71">
        <f t="shared" si="50"/>
        <v>7804463593</v>
      </c>
      <c r="H1139" s="60">
        <v>136100928</v>
      </c>
      <c r="I1139" s="72" t="s">
        <v>404</v>
      </c>
    </row>
    <row r="1140" spans="1:9">
      <c r="A1140" s="68" t="s">
        <v>43</v>
      </c>
      <c r="B1140" s="69">
        <v>2003</v>
      </c>
      <c r="C1140" s="73">
        <v>1948227424</v>
      </c>
      <c r="D1140" s="73">
        <v>2390825804</v>
      </c>
      <c r="E1140" s="73">
        <v>3395318045</v>
      </c>
      <c r="F1140" s="73">
        <v>0</v>
      </c>
      <c r="G1140" s="71">
        <f t="shared" si="50"/>
        <v>7734371273</v>
      </c>
      <c r="H1140" s="60">
        <v>120381291</v>
      </c>
      <c r="I1140" s="72" t="s">
        <v>404</v>
      </c>
    </row>
    <row r="1141" spans="1:9">
      <c r="A1141" s="68" t="s">
        <v>43</v>
      </c>
      <c r="B1141" s="69">
        <v>2004</v>
      </c>
      <c r="C1141" s="73">
        <v>2069665421</v>
      </c>
      <c r="D1141" s="73">
        <v>2272702063</v>
      </c>
      <c r="E1141" s="73">
        <v>3633432198</v>
      </c>
      <c r="F1141" s="73">
        <v>0</v>
      </c>
      <c r="G1141" s="71">
        <f t="shared" si="50"/>
        <v>7975799682</v>
      </c>
      <c r="H1141" s="60">
        <v>122200801</v>
      </c>
      <c r="I1141" s="60" t="s">
        <v>404</v>
      </c>
    </row>
    <row r="1142" spans="1:9">
      <c r="A1142" s="68" t="s">
        <v>43</v>
      </c>
      <c r="B1142" s="69">
        <v>2005</v>
      </c>
      <c r="C1142" s="73">
        <v>2005776067</v>
      </c>
      <c r="D1142" s="73">
        <v>2154340621</v>
      </c>
      <c r="E1142" s="73">
        <v>4235582734.4099898</v>
      </c>
      <c r="F1142" s="73">
        <v>0</v>
      </c>
      <c r="G1142" s="71">
        <f t="shared" si="50"/>
        <v>8395699422.4099903</v>
      </c>
      <c r="H1142" s="60">
        <v>105110301</v>
      </c>
      <c r="I1142" s="60" t="s">
        <v>404</v>
      </c>
    </row>
    <row r="1143" spans="1:9">
      <c r="A1143" s="68" t="s">
        <v>43</v>
      </c>
      <c r="B1143" s="69">
        <v>2006</v>
      </c>
      <c r="C1143" s="74">
        <v>2098133996</v>
      </c>
      <c r="D1143" s="74">
        <v>2570841828</v>
      </c>
      <c r="E1143" s="74">
        <v>4641595940</v>
      </c>
      <c r="F1143" s="74">
        <v>0</v>
      </c>
      <c r="G1143" s="71">
        <f t="shared" si="50"/>
        <v>9310571764</v>
      </c>
      <c r="H1143" s="60">
        <v>170244485</v>
      </c>
      <c r="I1143" s="60" t="s">
        <v>404</v>
      </c>
    </row>
    <row r="1144" spans="1:9">
      <c r="A1144" s="68" t="s">
        <v>43</v>
      </c>
      <c r="B1144" s="69">
        <v>2007</v>
      </c>
      <c r="C1144" s="74">
        <v>2234888240</v>
      </c>
      <c r="D1144" s="74">
        <v>2503034109</v>
      </c>
      <c r="E1144" s="74">
        <v>5265221613</v>
      </c>
      <c r="F1144" s="74">
        <v>2998</v>
      </c>
      <c r="G1144" s="71">
        <f t="shared" si="50"/>
        <v>10003146960</v>
      </c>
      <c r="H1144" s="60">
        <v>154641262</v>
      </c>
      <c r="I1144" s="60" t="s">
        <v>404</v>
      </c>
    </row>
    <row r="1145" spans="1:9">
      <c r="A1145" s="68" t="s">
        <v>43</v>
      </c>
      <c r="B1145" s="69">
        <v>2008</v>
      </c>
      <c r="C1145" s="74">
        <v>2278400961</v>
      </c>
      <c r="D1145" s="74">
        <v>3335856406</v>
      </c>
      <c r="E1145" s="74">
        <v>5569394754</v>
      </c>
      <c r="F1145" s="74">
        <v>0</v>
      </c>
      <c r="G1145" s="71">
        <f t="shared" si="50"/>
        <v>11183652121</v>
      </c>
      <c r="H1145" s="60">
        <v>239720744</v>
      </c>
      <c r="I1145" s="60" t="s">
        <v>404</v>
      </c>
    </row>
    <row r="1146" spans="1:9">
      <c r="A1146" s="68" t="s">
        <v>43</v>
      </c>
      <c r="B1146" s="69">
        <v>2009</v>
      </c>
      <c r="C1146" s="74">
        <v>2496355863</v>
      </c>
      <c r="D1146" s="74">
        <v>3011164712</v>
      </c>
      <c r="E1146" s="74">
        <v>5743443977</v>
      </c>
      <c r="F1146" s="74">
        <v>0</v>
      </c>
      <c r="G1146" s="71">
        <f t="shared" si="50"/>
        <v>11250964552</v>
      </c>
      <c r="H1146" s="60">
        <v>181148784</v>
      </c>
      <c r="I1146" s="60" t="s">
        <v>404</v>
      </c>
    </row>
    <row r="1147" spans="1:9">
      <c r="A1147" s="68" t="s">
        <v>43</v>
      </c>
      <c r="B1147" s="69">
        <v>2010</v>
      </c>
      <c r="C1147" s="74">
        <v>2532009409</v>
      </c>
      <c r="D1147" s="75">
        <v>2577891984</v>
      </c>
      <c r="E1147" s="74">
        <v>6040510733</v>
      </c>
      <c r="F1147" s="74">
        <v>0</v>
      </c>
      <c r="G1147" s="71">
        <f t="shared" si="50"/>
        <v>11150412126</v>
      </c>
      <c r="H1147" s="60">
        <v>184568416</v>
      </c>
      <c r="I1147" s="60" t="s">
        <v>404</v>
      </c>
    </row>
    <row r="1148" spans="1:9">
      <c r="A1148" s="68" t="s">
        <v>43</v>
      </c>
      <c r="B1148" s="69">
        <v>2011</v>
      </c>
      <c r="C1148" s="74">
        <v>2527858979</v>
      </c>
      <c r="D1148" s="75">
        <v>2779369697</v>
      </c>
      <c r="E1148" s="74">
        <v>6352208316.5</v>
      </c>
      <c r="F1148" s="74">
        <v>0</v>
      </c>
      <c r="G1148" s="71">
        <f t="shared" si="50"/>
        <v>11659436992.5</v>
      </c>
      <c r="H1148" s="60">
        <v>226498440</v>
      </c>
      <c r="I1148" s="60" t="s">
        <v>404</v>
      </c>
    </row>
    <row r="1149" spans="1:9">
      <c r="A1149" s="68" t="s">
        <v>43</v>
      </c>
      <c r="B1149" s="69">
        <v>2012</v>
      </c>
      <c r="C1149" s="74">
        <v>2626662450</v>
      </c>
      <c r="D1149" s="75">
        <v>3213367923</v>
      </c>
      <c r="E1149" s="74">
        <v>5385580350</v>
      </c>
      <c r="F1149" s="74">
        <v>0</v>
      </c>
      <c r="G1149" s="71">
        <f t="shared" si="50"/>
        <v>11225610723</v>
      </c>
      <c r="H1149" s="60">
        <v>161566474</v>
      </c>
      <c r="I1149" s="60" t="s">
        <v>404</v>
      </c>
    </row>
    <row r="1150" spans="1:9">
      <c r="A1150" s="68"/>
      <c r="C1150" s="70"/>
      <c r="D1150" s="70"/>
      <c r="E1150" s="70"/>
      <c r="F1150" s="70"/>
      <c r="G1150" s="76"/>
      <c r="I1150" s="72"/>
    </row>
    <row r="1151" spans="1:9">
      <c r="A1151" s="68" t="s">
        <v>44</v>
      </c>
      <c r="B1151" s="69">
        <v>1988</v>
      </c>
      <c r="C1151" s="70">
        <v>3815419554</v>
      </c>
      <c r="D1151" s="70">
        <v>2268537114</v>
      </c>
      <c r="E1151" s="70">
        <v>4422066159</v>
      </c>
      <c r="F1151" s="70">
        <v>1339828984</v>
      </c>
      <c r="G1151" s="71">
        <f>SUM(C1151:F1151)</f>
        <v>11845851811</v>
      </c>
      <c r="H1151" s="60">
        <v>0</v>
      </c>
      <c r="I1151" s="72"/>
    </row>
    <row r="1152" spans="1:9">
      <c r="A1152" s="68" t="s">
        <v>44</v>
      </c>
      <c r="B1152" s="69">
        <v>1989</v>
      </c>
      <c r="C1152" s="70">
        <v>3599963635</v>
      </c>
      <c r="D1152" s="70">
        <v>2384369898</v>
      </c>
      <c r="E1152" s="70">
        <v>4945087925</v>
      </c>
      <c r="F1152" s="70">
        <v>1438852364</v>
      </c>
      <c r="G1152" s="71">
        <f t="shared" ref="G1152:G1169" si="51">SUM(C1152:F1152)</f>
        <v>12368273822</v>
      </c>
      <c r="H1152" s="60">
        <v>0</v>
      </c>
      <c r="I1152" s="72"/>
    </row>
    <row r="1153" spans="1:9">
      <c r="A1153" s="68" t="s">
        <v>44</v>
      </c>
      <c r="B1153" s="69">
        <v>1990</v>
      </c>
      <c r="C1153" s="70">
        <v>3756690986</v>
      </c>
      <c r="D1153" s="70">
        <v>2554557045.7199998</v>
      </c>
      <c r="E1153" s="70">
        <v>5435265671</v>
      </c>
      <c r="F1153" s="70">
        <v>1412926882</v>
      </c>
      <c r="G1153" s="71">
        <f t="shared" si="51"/>
        <v>13159440584.719999</v>
      </c>
      <c r="H1153" s="60">
        <v>0</v>
      </c>
      <c r="I1153" s="72"/>
    </row>
    <row r="1154" spans="1:9">
      <c r="A1154" s="68" t="s">
        <v>44</v>
      </c>
      <c r="B1154" s="69">
        <v>1991</v>
      </c>
      <c r="C1154" s="70">
        <v>4101784095</v>
      </c>
      <c r="D1154" s="70">
        <v>2470818838</v>
      </c>
      <c r="E1154" s="70">
        <v>5494771599</v>
      </c>
      <c r="F1154" s="70">
        <v>1445275145</v>
      </c>
      <c r="G1154" s="71">
        <f t="shared" si="51"/>
        <v>13512649677</v>
      </c>
      <c r="H1154" s="60">
        <v>0</v>
      </c>
      <c r="I1154" s="72"/>
    </row>
    <row r="1155" spans="1:9">
      <c r="A1155" s="68" t="s">
        <v>44</v>
      </c>
      <c r="B1155" s="69">
        <v>1992</v>
      </c>
      <c r="C1155" s="70">
        <v>4260916595</v>
      </c>
      <c r="D1155" s="70">
        <v>3112732687.8000002</v>
      </c>
      <c r="E1155" s="70">
        <v>5850881673</v>
      </c>
      <c r="F1155" s="70">
        <v>1183778858</v>
      </c>
      <c r="G1155" s="71">
        <f t="shared" si="51"/>
        <v>14408309813.799999</v>
      </c>
      <c r="H1155" s="60">
        <v>0</v>
      </c>
      <c r="I1155" s="72"/>
    </row>
    <row r="1156" spans="1:9">
      <c r="A1156" s="68" t="s">
        <v>44</v>
      </c>
      <c r="B1156" s="69">
        <v>1993</v>
      </c>
      <c r="C1156" s="70">
        <v>4568272333</v>
      </c>
      <c r="D1156" s="70">
        <v>2424316050</v>
      </c>
      <c r="E1156" s="70">
        <v>6040321328</v>
      </c>
      <c r="F1156" s="70">
        <v>1038398764</v>
      </c>
      <c r="G1156" s="71">
        <f t="shared" si="51"/>
        <v>14071308475</v>
      </c>
      <c r="H1156" s="60">
        <v>0</v>
      </c>
      <c r="I1156" s="72"/>
    </row>
    <row r="1157" spans="1:9">
      <c r="A1157" s="68" t="s">
        <v>44</v>
      </c>
      <c r="B1157" s="69">
        <v>1994</v>
      </c>
      <c r="C1157" s="70">
        <v>4856277402</v>
      </c>
      <c r="D1157" s="70">
        <v>2960162037</v>
      </c>
      <c r="E1157" s="70">
        <v>6105777363</v>
      </c>
      <c r="F1157" s="70">
        <v>1144681743</v>
      </c>
      <c r="G1157" s="71">
        <f t="shared" si="51"/>
        <v>15066898545</v>
      </c>
      <c r="H1157" s="60">
        <v>0</v>
      </c>
      <c r="I1157" s="72"/>
    </row>
    <row r="1158" spans="1:9">
      <c r="A1158" s="68" t="s">
        <v>44</v>
      </c>
      <c r="B1158" s="69">
        <v>1995</v>
      </c>
      <c r="C1158" s="70">
        <v>5045233055</v>
      </c>
      <c r="D1158" s="70">
        <v>3078479254</v>
      </c>
      <c r="E1158" s="70">
        <v>6243546186</v>
      </c>
      <c r="F1158" s="70">
        <v>1064458213</v>
      </c>
      <c r="G1158" s="71">
        <f t="shared" si="51"/>
        <v>15431716708</v>
      </c>
      <c r="H1158" s="60">
        <v>0</v>
      </c>
      <c r="I1158" s="72"/>
    </row>
    <row r="1159" spans="1:9">
      <c r="A1159" s="68" t="s">
        <v>44</v>
      </c>
      <c r="B1159" s="69">
        <v>1996</v>
      </c>
      <c r="C1159" s="70">
        <v>4996187312</v>
      </c>
      <c r="D1159" s="70">
        <v>2841705439</v>
      </c>
      <c r="E1159" s="70">
        <v>6530505680</v>
      </c>
      <c r="F1159" s="70">
        <v>808306230</v>
      </c>
      <c r="G1159" s="71">
        <f t="shared" si="51"/>
        <v>15176704661</v>
      </c>
      <c r="H1159" s="60">
        <v>0</v>
      </c>
      <c r="I1159" s="72"/>
    </row>
    <row r="1160" spans="1:9">
      <c r="A1160" s="68" t="s">
        <v>44</v>
      </c>
      <c r="B1160" s="69">
        <v>1997</v>
      </c>
      <c r="C1160" s="70">
        <v>5173395954</v>
      </c>
      <c r="D1160" s="70">
        <v>3023595878</v>
      </c>
      <c r="E1160" s="70">
        <v>6772660413</v>
      </c>
      <c r="F1160" s="70">
        <v>1019117116</v>
      </c>
      <c r="G1160" s="71">
        <f t="shared" si="51"/>
        <v>15988769361</v>
      </c>
      <c r="H1160" s="60">
        <v>0</v>
      </c>
      <c r="I1160" s="72"/>
    </row>
    <row r="1161" spans="1:9">
      <c r="A1161" s="68" t="s">
        <v>44</v>
      </c>
      <c r="B1161" s="69">
        <v>1998</v>
      </c>
      <c r="C1161" s="70">
        <v>5217470879</v>
      </c>
      <c r="D1161" s="70">
        <v>3117683503</v>
      </c>
      <c r="E1161" s="70">
        <v>7159771033</v>
      </c>
      <c r="F1161" s="70">
        <v>732298784</v>
      </c>
      <c r="G1161" s="71">
        <f t="shared" si="51"/>
        <v>16227224199</v>
      </c>
      <c r="H1161" s="60">
        <v>0</v>
      </c>
      <c r="I1161" s="72"/>
    </row>
    <row r="1162" spans="1:9">
      <c r="A1162" s="68" t="s">
        <v>44</v>
      </c>
      <c r="B1162" s="69">
        <v>1999</v>
      </c>
      <c r="C1162" s="70">
        <v>5473118724</v>
      </c>
      <c r="D1162" s="70">
        <v>4524771408</v>
      </c>
      <c r="E1162" s="70">
        <v>7789530339</v>
      </c>
      <c r="F1162" s="70">
        <v>875632734</v>
      </c>
      <c r="G1162" s="71">
        <f t="shared" si="51"/>
        <v>18663053205</v>
      </c>
      <c r="H1162" s="60">
        <v>0</v>
      </c>
      <c r="I1162" s="72"/>
    </row>
    <row r="1163" spans="1:9">
      <c r="A1163" s="68" t="s">
        <v>44</v>
      </c>
      <c r="B1163" s="69">
        <v>2000</v>
      </c>
      <c r="C1163" s="70">
        <v>5363813458</v>
      </c>
      <c r="D1163" s="70">
        <v>4589376804</v>
      </c>
      <c r="E1163" s="70">
        <v>8238565256</v>
      </c>
      <c r="F1163" s="70">
        <v>930820115</v>
      </c>
      <c r="G1163" s="71">
        <f t="shared" si="51"/>
        <v>19122575633</v>
      </c>
      <c r="H1163" s="60">
        <v>0</v>
      </c>
      <c r="I1163" s="72"/>
    </row>
    <row r="1164" spans="1:9">
      <c r="A1164" s="68" t="s">
        <v>44</v>
      </c>
      <c r="B1164" s="69">
        <v>2001</v>
      </c>
      <c r="C1164" s="70">
        <v>5911727433</v>
      </c>
      <c r="D1164" s="70">
        <v>6833667279.0699902</v>
      </c>
      <c r="E1164" s="70">
        <v>12519125940</v>
      </c>
      <c r="F1164" s="70">
        <v>972205677</v>
      </c>
      <c r="G1164" s="71">
        <f t="shared" si="51"/>
        <v>26236726329.069992</v>
      </c>
      <c r="H1164" s="60">
        <v>0</v>
      </c>
      <c r="I1164" s="72"/>
    </row>
    <row r="1165" spans="1:9">
      <c r="A1165" s="68" t="s">
        <v>44</v>
      </c>
      <c r="B1165" s="69">
        <v>2002</v>
      </c>
      <c r="C1165" s="70">
        <v>5984160901</v>
      </c>
      <c r="D1165" s="70">
        <v>9353909601</v>
      </c>
      <c r="E1165" s="70">
        <v>10085143681</v>
      </c>
      <c r="F1165" s="70">
        <v>1388948010</v>
      </c>
      <c r="G1165" s="71">
        <f t="shared" si="51"/>
        <v>26812162193</v>
      </c>
      <c r="H1165" s="60">
        <v>0</v>
      </c>
      <c r="I1165" s="72"/>
    </row>
    <row r="1166" spans="1:9">
      <c r="A1166" s="68" t="s">
        <v>44</v>
      </c>
      <c r="B1166" s="69">
        <v>2003</v>
      </c>
      <c r="C1166" s="73">
        <v>6199516177</v>
      </c>
      <c r="D1166" s="73">
        <v>8631385888</v>
      </c>
      <c r="E1166" s="73">
        <v>11295441071</v>
      </c>
      <c r="F1166" s="73">
        <v>1301404741</v>
      </c>
      <c r="G1166" s="71">
        <f t="shared" si="51"/>
        <v>27427747877</v>
      </c>
      <c r="H1166" s="60">
        <v>0</v>
      </c>
      <c r="I1166" s="72"/>
    </row>
    <row r="1167" spans="1:9">
      <c r="A1167" s="68" t="s">
        <v>44</v>
      </c>
      <c r="B1167" s="69">
        <v>2004</v>
      </c>
      <c r="C1167" s="73">
        <v>6550951224</v>
      </c>
      <c r="D1167" s="73">
        <v>7505503713</v>
      </c>
      <c r="E1167" s="73">
        <v>12215265686</v>
      </c>
      <c r="F1167" s="73">
        <v>1426515894</v>
      </c>
      <c r="G1167" s="71">
        <f t="shared" si="51"/>
        <v>27698236517</v>
      </c>
      <c r="H1167" s="60">
        <v>0</v>
      </c>
      <c r="I1167" s="72"/>
    </row>
    <row r="1168" spans="1:9">
      <c r="A1168" s="68" t="s">
        <v>44</v>
      </c>
      <c r="B1168" s="69">
        <v>2005</v>
      </c>
      <c r="C1168" s="73">
        <v>6657225931</v>
      </c>
      <c r="D1168" s="73">
        <v>8088609503</v>
      </c>
      <c r="E1168" s="73">
        <v>13909037431</v>
      </c>
      <c r="F1168" s="73">
        <v>413601202</v>
      </c>
      <c r="G1168" s="71">
        <f t="shared" si="51"/>
        <v>29068474067</v>
      </c>
      <c r="H1168" s="60">
        <f>62943237+48553562</f>
        <v>111496799</v>
      </c>
      <c r="I1168" s="60" t="s">
        <v>402</v>
      </c>
    </row>
    <row r="1169" spans="1:9">
      <c r="A1169" s="68" t="s">
        <v>44</v>
      </c>
      <c r="B1169" s="69">
        <v>2006</v>
      </c>
      <c r="C1169" s="74">
        <v>7264913881</v>
      </c>
      <c r="D1169" s="74">
        <v>9633442441</v>
      </c>
      <c r="E1169" s="74">
        <v>15474603274</v>
      </c>
      <c r="F1169" s="74">
        <v>263035259</v>
      </c>
      <c r="G1169" s="71">
        <f t="shared" si="51"/>
        <v>32635994855</v>
      </c>
      <c r="H1169" s="60">
        <v>153773541</v>
      </c>
      <c r="I1169" s="60" t="s">
        <v>402</v>
      </c>
    </row>
    <row r="1170" spans="1:9">
      <c r="A1170" s="68" t="s">
        <v>44</v>
      </c>
      <c r="B1170" s="69">
        <v>2007</v>
      </c>
      <c r="C1170" s="74">
        <v>7622698764</v>
      </c>
      <c r="D1170" s="74">
        <v>9538505848</v>
      </c>
      <c r="E1170" s="74">
        <v>17682293749</v>
      </c>
      <c r="F1170" s="74">
        <v>288076403</v>
      </c>
      <c r="G1170" s="71">
        <f t="shared" ref="G1170:G1175" si="52">SUM(C1170:F1170)</f>
        <v>35131574764</v>
      </c>
      <c r="H1170" s="60">
        <v>143224160</v>
      </c>
      <c r="I1170" s="60" t="s">
        <v>402</v>
      </c>
    </row>
    <row r="1171" spans="1:9">
      <c r="A1171" s="68" t="s">
        <v>44</v>
      </c>
      <c r="B1171" s="69">
        <v>2008</v>
      </c>
      <c r="C1171" s="74">
        <v>7814055699</v>
      </c>
      <c r="D1171" s="74">
        <v>12056332025</v>
      </c>
      <c r="E1171" s="74">
        <v>18897688295</v>
      </c>
      <c r="F1171" s="74">
        <v>258789568</v>
      </c>
      <c r="G1171" s="71">
        <f t="shared" si="52"/>
        <v>39026865587</v>
      </c>
      <c r="H1171" s="60">
        <v>176873118</v>
      </c>
      <c r="I1171" s="60" t="s">
        <v>402</v>
      </c>
    </row>
    <row r="1172" spans="1:9">
      <c r="A1172" s="68" t="s">
        <v>44</v>
      </c>
      <c r="B1172" s="69">
        <v>2009</v>
      </c>
      <c r="C1172" s="74">
        <v>8312953288</v>
      </c>
      <c r="D1172" s="74">
        <v>10534229038</v>
      </c>
      <c r="E1172" s="74">
        <v>19493137323</v>
      </c>
      <c r="F1172" s="74">
        <v>335584242</v>
      </c>
      <c r="G1172" s="71">
        <f t="shared" si="52"/>
        <v>38675903891</v>
      </c>
      <c r="H1172" s="60">
        <v>80667936</v>
      </c>
      <c r="I1172" s="60" t="s">
        <v>402</v>
      </c>
    </row>
    <row r="1173" spans="1:9">
      <c r="A1173" s="68" t="s">
        <v>44</v>
      </c>
      <c r="B1173" s="69">
        <v>2010</v>
      </c>
      <c r="C1173" s="74">
        <v>8667468764</v>
      </c>
      <c r="D1173" s="75">
        <v>9038799334</v>
      </c>
      <c r="E1173" s="74">
        <v>20538515463</v>
      </c>
      <c r="F1173" s="74">
        <v>189844865</v>
      </c>
      <c r="G1173" s="71">
        <f t="shared" si="52"/>
        <v>38434628426</v>
      </c>
      <c r="H1173" s="60">
        <f>80975244+10278470</f>
        <v>91253714</v>
      </c>
      <c r="I1173" s="60" t="s">
        <v>402</v>
      </c>
    </row>
    <row r="1174" spans="1:9">
      <c r="A1174" s="68" t="s">
        <v>44</v>
      </c>
      <c r="B1174" s="69">
        <v>2011</v>
      </c>
      <c r="C1174" s="74">
        <v>9191938651</v>
      </c>
      <c r="D1174" s="75">
        <v>9080676285</v>
      </c>
      <c r="E1174" s="74">
        <v>20650737570</v>
      </c>
      <c r="F1174" s="74">
        <v>244780838</v>
      </c>
      <c r="G1174" s="71">
        <f t="shared" si="52"/>
        <v>39168133344</v>
      </c>
      <c r="H1174" s="60">
        <v>77768369</v>
      </c>
      <c r="I1174" s="60" t="s">
        <v>402</v>
      </c>
    </row>
    <row r="1175" spans="1:9">
      <c r="A1175" s="68" t="s">
        <v>44</v>
      </c>
      <c r="B1175" s="69">
        <v>2012</v>
      </c>
      <c r="C1175" s="74">
        <v>9696114854</v>
      </c>
      <c r="D1175" s="75">
        <v>10259833214</v>
      </c>
      <c r="E1175" s="74">
        <v>23410376830</v>
      </c>
      <c r="F1175" s="74">
        <v>315222026</v>
      </c>
      <c r="G1175" s="71">
        <f t="shared" si="52"/>
        <v>43681546924</v>
      </c>
      <c r="H1175" s="60">
        <v>91618150</v>
      </c>
      <c r="I1175" s="60" t="s">
        <v>402</v>
      </c>
    </row>
    <row r="1176" spans="1:9">
      <c r="A1176" s="68"/>
      <c r="C1176" s="70"/>
      <c r="D1176" s="70"/>
      <c r="E1176" s="70"/>
      <c r="F1176" s="70"/>
      <c r="G1176" s="76"/>
      <c r="I1176" s="72"/>
    </row>
    <row r="1177" spans="1:9">
      <c r="A1177" s="68" t="s">
        <v>45</v>
      </c>
      <c r="B1177" s="69">
        <v>1988</v>
      </c>
      <c r="C1177" s="70">
        <v>313526813</v>
      </c>
      <c r="D1177" s="70">
        <v>290557522</v>
      </c>
      <c r="E1177" s="70">
        <v>470386838</v>
      </c>
      <c r="F1177" s="70">
        <v>0</v>
      </c>
      <c r="G1177" s="71">
        <f>SUM(C1177:F1177)</f>
        <v>1074471173</v>
      </c>
      <c r="H1177" s="60">
        <v>0</v>
      </c>
      <c r="I1177" s="72"/>
    </row>
    <row r="1178" spans="1:9">
      <c r="A1178" s="68" t="s">
        <v>45</v>
      </c>
      <c r="B1178" s="69">
        <v>1989</v>
      </c>
      <c r="C1178" s="70">
        <v>299172790</v>
      </c>
      <c r="D1178" s="70">
        <v>379254528</v>
      </c>
      <c r="E1178" s="70">
        <v>581428474</v>
      </c>
      <c r="F1178" s="70">
        <v>0</v>
      </c>
      <c r="G1178" s="71">
        <f t="shared" ref="G1178:G1195" si="53">SUM(C1178:F1178)</f>
        <v>1259855792</v>
      </c>
      <c r="H1178" s="60">
        <v>0</v>
      </c>
      <c r="I1178" s="72"/>
    </row>
    <row r="1179" spans="1:9">
      <c r="A1179" s="68" t="s">
        <v>45</v>
      </c>
      <c r="B1179" s="69">
        <v>1990</v>
      </c>
      <c r="C1179" s="70">
        <v>318604445</v>
      </c>
      <c r="D1179" s="70">
        <v>414986860.44</v>
      </c>
      <c r="E1179" s="70">
        <v>644904260</v>
      </c>
      <c r="F1179" s="70">
        <v>0</v>
      </c>
      <c r="G1179" s="71">
        <f t="shared" si="53"/>
        <v>1378495565.4400001</v>
      </c>
      <c r="H1179" s="60">
        <v>0</v>
      </c>
      <c r="I1179" s="72"/>
    </row>
    <row r="1180" spans="1:9">
      <c r="A1180" s="68" t="s">
        <v>45</v>
      </c>
      <c r="B1180" s="69">
        <v>1991</v>
      </c>
      <c r="C1180" s="70">
        <v>354581693</v>
      </c>
      <c r="D1180" s="70">
        <v>340404656</v>
      </c>
      <c r="E1180" s="70">
        <v>506517887</v>
      </c>
      <c r="F1180" s="70">
        <v>140164604</v>
      </c>
      <c r="G1180" s="71">
        <f t="shared" si="53"/>
        <v>1341668840</v>
      </c>
      <c r="H1180" s="60">
        <v>0</v>
      </c>
      <c r="I1180" s="72"/>
    </row>
    <row r="1181" spans="1:9">
      <c r="A1181" s="68" t="s">
        <v>45</v>
      </c>
      <c r="B1181" s="69">
        <v>1992</v>
      </c>
      <c r="C1181" s="70">
        <v>387308050</v>
      </c>
      <c r="D1181" s="70">
        <v>349394173.12</v>
      </c>
      <c r="E1181" s="70">
        <v>524792525</v>
      </c>
      <c r="F1181" s="70">
        <v>117830898</v>
      </c>
      <c r="G1181" s="71">
        <f t="shared" si="53"/>
        <v>1379325646.1199999</v>
      </c>
      <c r="H1181" s="60">
        <v>0</v>
      </c>
      <c r="I1181" s="72"/>
    </row>
    <row r="1182" spans="1:9">
      <c r="A1182" s="68" t="s">
        <v>45</v>
      </c>
      <c r="B1182" s="69">
        <v>1993</v>
      </c>
      <c r="C1182" s="70">
        <v>404053511</v>
      </c>
      <c r="D1182" s="70">
        <v>284964556</v>
      </c>
      <c r="E1182" s="70">
        <v>572786897</v>
      </c>
      <c r="F1182" s="70">
        <v>118494471</v>
      </c>
      <c r="G1182" s="71">
        <f t="shared" si="53"/>
        <v>1380299435</v>
      </c>
      <c r="H1182" s="60">
        <v>0</v>
      </c>
      <c r="I1182" s="72"/>
    </row>
    <row r="1183" spans="1:9">
      <c r="A1183" s="68" t="s">
        <v>45</v>
      </c>
      <c r="B1183" s="69">
        <v>1994</v>
      </c>
      <c r="C1183" s="70">
        <v>448122101</v>
      </c>
      <c r="D1183" s="70">
        <v>335080149</v>
      </c>
      <c r="E1183" s="70">
        <v>598429341</v>
      </c>
      <c r="F1183" s="70">
        <v>82023413</v>
      </c>
      <c r="G1183" s="71">
        <f t="shared" si="53"/>
        <v>1463655004</v>
      </c>
      <c r="H1183" s="60">
        <v>0</v>
      </c>
      <c r="I1183" s="72"/>
    </row>
    <row r="1184" spans="1:9">
      <c r="A1184" s="68" t="s">
        <v>45</v>
      </c>
      <c r="B1184" s="69">
        <v>1995</v>
      </c>
      <c r="C1184" s="70">
        <v>466569480</v>
      </c>
      <c r="D1184" s="70">
        <v>361825176</v>
      </c>
      <c r="E1184" s="70">
        <v>618199870</v>
      </c>
      <c r="F1184" s="70">
        <v>74926370</v>
      </c>
      <c r="G1184" s="71">
        <f t="shared" si="53"/>
        <v>1521520896</v>
      </c>
      <c r="H1184" s="60">
        <v>0</v>
      </c>
      <c r="I1184" s="72"/>
    </row>
    <row r="1185" spans="1:9">
      <c r="A1185" s="68" t="s">
        <v>45</v>
      </c>
      <c r="B1185" s="69">
        <v>1996</v>
      </c>
      <c r="C1185" s="70">
        <v>538241101</v>
      </c>
      <c r="D1185" s="70">
        <v>293089887</v>
      </c>
      <c r="E1185" s="70">
        <v>896321487</v>
      </c>
      <c r="F1185" s="70">
        <v>57549757</v>
      </c>
      <c r="G1185" s="71">
        <f t="shared" si="53"/>
        <v>1785202232</v>
      </c>
      <c r="H1185" s="60">
        <v>0</v>
      </c>
      <c r="I1185" s="72"/>
    </row>
    <row r="1186" spans="1:9">
      <c r="A1186" s="68" t="s">
        <v>45</v>
      </c>
      <c r="B1186" s="69">
        <v>1997</v>
      </c>
      <c r="C1186" s="70">
        <v>519625457</v>
      </c>
      <c r="D1186" s="70">
        <v>344918051</v>
      </c>
      <c r="E1186" s="70">
        <v>929835181</v>
      </c>
      <c r="F1186" s="70">
        <v>45809089</v>
      </c>
      <c r="G1186" s="71">
        <f t="shared" si="53"/>
        <v>1840187778</v>
      </c>
      <c r="H1186" s="60">
        <v>0</v>
      </c>
      <c r="I1186" s="72"/>
    </row>
    <row r="1187" spans="1:9">
      <c r="A1187" s="68" t="s">
        <v>45</v>
      </c>
      <c r="B1187" s="69">
        <v>1998</v>
      </c>
      <c r="C1187" s="70">
        <v>537069568</v>
      </c>
      <c r="D1187" s="70">
        <v>331698352</v>
      </c>
      <c r="E1187" s="70">
        <v>1022320045</v>
      </c>
      <c r="F1187" s="70">
        <v>41350152</v>
      </c>
      <c r="G1187" s="71">
        <f t="shared" si="53"/>
        <v>1932438117</v>
      </c>
      <c r="H1187" s="60">
        <v>0</v>
      </c>
      <c r="I1187" s="72"/>
    </row>
    <row r="1188" spans="1:9">
      <c r="A1188" s="68" t="s">
        <v>45</v>
      </c>
      <c r="B1188" s="69">
        <v>1999</v>
      </c>
      <c r="C1188" s="70">
        <v>710486850</v>
      </c>
      <c r="D1188" s="70">
        <v>448838668</v>
      </c>
      <c r="E1188" s="70">
        <v>1149140939</v>
      </c>
      <c r="F1188" s="70">
        <v>25579174</v>
      </c>
      <c r="G1188" s="71">
        <f t="shared" si="53"/>
        <v>2334045631</v>
      </c>
      <c r="H1188" s="60">
        <v>0</v>
      </c>
      <c r="I1188" s="72"/>
    </row>
    <row r="1189" spans="1:9">
      <c r="A1189" s="68" t="s">
        <v>45</v>
      </c>
      <c r="B1189" s="69">
        <v>2000</v>
      </c>
      <c r="C1189" s="70">
        <v>523164041</v>
      </c>
      <c r="D1189" s="70">
        <v>485538959</v>
      </c>
      <c r="E1189" s="70">
        <v>1283676867</v>
      </c>
      <c r="F1189" s="70">
        <v>48591441</v>
      </c>
      <c r="G1189" s="71">
        <f t="shared" si="53"/>
        <v>2340971308</v>
      </c>
      <c r="H1189" s="60">
        <v>0</v>
      </c>
      <c r="I1189" s="72"/>
    </row>
    <row r="1190" spans="1:9">
      <c r="A1190" s="68" t="s">
        <v>45</v>
      </c>
      <c r="B1190" s="69">
        <v>2001</v>
      </c>
      <c r="C1190" s="70">
        <v>517566609</v>
      </c>
      <c r="D1190" s="70">
        <v>657243561</v>
      </c>
      <c r="E1190" s="70">
        <v>1425971566</v>
      </c>
      <c r="F1190" s="70">
        <v>38623752</v>
      </c>
      <c r="G1190" s="71">
        <f t="shared" si="53"/>
        <v>2639405488</v>
      </c>
      <c r="H1190" s="60">
        <f>1741678+30608</f>
        <v>1772286</v>
      </c>
      <c r="I1190" s="72" t="s">
        <v>402</v>
      </c>
    </row>
    <row r="1191" spans="1:9">
      <c r="A1191" s="68" t="s">
        <v>45</v>
      </c>
      <c r="B1191" s="69">
        <v>2002</v>
      </c>
      <c r="C1191" s="70">
        <v>538503454</v>
      </c>
      <c r="D1191" s="70">
        <v>893815012</v>
      </c>
      <c r="E1191" s="70">
        <v>1500294415</v>
      </c>
      <c r="F1191" s="70">
        <v>29649653</v>
      </c>
      <c r="G1191" s="71">
        <f t="shared" si="53"/>
        <v>2962262534</v>
      </c>
      <c r="H1191" s="60">
        <f>818900+82</f>
        <v>818982</v>
      </c>
      <c r="I1191" s="72" t="s">
        <v>402</v>
      </c>
    </row>
    <row r="1192" spans="1:9">
      <c r="A1192" s="68" t="s">
        <v>45</v>
      </c>
      <c r="B1192" s="69">
        <v>2003</v>
      </c>
      <c r="C1192" s="73">
        <v>601682895</v>
      </c>
      <c r="D1192" s="73">
        <v>862874288</v>
      </c>
      <c r="E1192" s="73">
        <v>1505793625</v>
      </c>
      <c r="F1192" s="73">
        <v>29971231</v>
      </c>
      <c r="G1192" s="71">
        <f t="shared" si="53"/>
        <v>3000322039</v>
      </c>
      <c r="H1192" s="60">
        <f>4633166+88</f>
        <v>4633254</v>
      </c>
      <c r="I1192" s="72" t="s">
        <v>402</v>
      </c>
    </row>
    <row r="1193" spans="1:9">
      <c r="A1193" s="68" t="s">
        <v>45</v>
      </c>
      <c r="B1193" s="69">
        <v>2004</v>
      </c>
      <c r="C1193" s="73">
        <v>618140701</v>
      </c>
      <c r="D1193" s="73">
        <v>799269204</v>
      </c>
      <c r="E1193" s="73">
        <v>1592483757</v>
      </c>
      <c r="F1193" s="73">
        <v>26970899</v>
      </c>
      <c r="G1193" s="71">
        <f t="shared" si="53"/>
        <v>3036864561</v>
      </c>
      <c r="H1193" s="60">
        <v>4832155</v>
      </c>
      <c r="I1193" s="72" t="s">
        <v>402</v>
      </c>
    </row>
    <row r="1194" spans="1:9">
      <c r="A1194" s="68" t="s">
        <v>45</v>
      </c>
      <c r="B1194" s="69">
        <v>2005</v>
      </c>
      <c r="C1194" s="73">
        <v>672114026</v>
      </c>
      <c r="D1194" s="73">
        <v>444188124</v>
      </c>
      <c r="E1194" s="73">
        <v>1833857405</v>
      </c>
      <c r="F1194" s="73">
        <v>34156835</v>
      </c>
      <c r="G1194" s="71">
        <f t="shared" si="53"/>
        <v>2984316390</v>
      </c>
      <c r="H1194" s="60">
        <f>2747262+355449</f>
        <v>3102711</v>
      </c>
      <c r="I1194" s="72" t="s">
        <v>402</v>
      </c>
    </row>
    <row r="1195" spans="1:9">
      <c r="A1195" s="68" t="s">
        <v>45</v>
      </c>
      <c r="B1195" s="69">
        <v>2006</v>
      </c>
      <c r="C1195" s="74">
        <v>717123386</v>
      </c>
      <c r="D1195" s="74">
        <v>557218553</v>
      </c>
      <c r="E1195" s="74">
        <v>2024428717</v>
      </c>
      <c r="F1195" s="74">
        <v>21684280</v>
      </c>
      <c r="G1195" s="71">
        <f t="shared" si="53"/>
        <v>3320454936</v>
      </c>
      <c r="H1195" s="60">
        <v>9492005</v>
      </c>
      <c r="I1195" s="72" t="s">
        <v>402</v>
      </c>
    </row>
    <row r="1196" spans="1:9">
      <c r="A1196" s="68" t="s">
        <v>45</v>
      </c>
      <c r="B1196" s="69">
        <v>2007</v>
      </c>
      <c r="C1196" s="74">
        <v>833532196</v>
      </c>
      <c r="D1196" s="74">
        <v>811359536</v>
      </c>
      <c r="E1196" s="74">
        <v>2429981594</v>
      </c>
      <c r="F1196" s="74">
        <v>25065139</v>
      </c>
      <c r="G1196" s="71">
        <f t="shared" ref="G1196:G1201" si="54">SUM(C1196:F1196)</f>
        <v>4099938465</v>
      </c>
      <c r="H1196" s="60">
        <v>11133043</v>
      </c>
      <c r="I1196" s="72" t="s">
        <v>402</v>
      </c>
    </row>
    <row r="1197" spans="1:9">
      <c r="A1197" s="68" t="s">
        <v>45</v>
      </c>
      <c r="B1197" s="69">
        <v>2008</v>
      </c>
      <c r="C1197" s="74">
        <v>957444360</v>
      </c>
      <c r="D1197" s="74">
        <v>1136870003</v>
      </c>
      <c r="E1197" s="74">
        <v>2630663601</v>
      </c>
      <c r="F1197" s="74">
        <v>20685600</v>
      </c>
      <c r="G1197" s="71">
        <f t="shared" si="54"/>
        <v>4745663564</v>
      </c>
      <c r="H1197" s="60">
        <v>2552146</v>
      </c>
      <c r="I1197" s="72" t="s">
        <v>402</v>
      </c>
    </row>
    <row r="1198" spans="1:9">
      <c r="A1198" s="68" t="s">
        <v>45</v>
      </c>
      <c r="B1198" s="69">
        <v>2009</v>
      </c>
      <c r="C1198" s="74">
        <v>1020079089</v>
      </c>
      <c r="D1198" s="74">
        <v>1165745155</v>
      </c>
      <c r="E1198" s="74">
        <v>2794581852</v>
      </c>
      <c r="F1198" s="74">
        <v>29345507</v>
      </c>
      <c r="G1198" s="71">
        <f t="shared" si="54"/>
        <v>5009751603</v>
      </c>
      <c r="H1198" s="60">
        <v>2607029</v>
      </c>
      <c r="I1198" s="72" t="s">
        <v>402</v>
      </c>
    </row>
    <row r="1199" spans="1:9">
      <c r="A1199" s="68" t="s">
        <v>45</v>
      </c>
      <c r="B1199" s="69">
        <v>2010</v>
      </c>
      <c r="C1199" s="74">
        <v>1060189950</v>
      </c>
      <c r="D1199" s="74">
        <v>1153636758</v>
      </c>
      <c r="E1199" s="74">
        <v>3205672777</v>
      </c>
      <c r="F1199" s="74">
        <v>20351033</v>
      </c>
      <c r="G1199" s="71">
        <f t="shared" si="54"/>
        <v>5439850518</v>
      </c>
      <c r="H1199" s="60">
        <f>5976169</f>
        <v>5976169</v>
      </c>
      <c r="I1199" s="72" t="s">
        <v>402</v>
      </c>
    </row>
    <row r="1200" spans="1:9">
      <c r="A1200" s="68" t="s">
        <v>45</v>
      </c>
      <c r="B1200" s="69">
        <v>2011</v>
      </c>
      <c r="C1200" s="74">
        <v>1267264674</v>
      </c>
      <c r="D1200" s="74">
        <v>1176975925</v>
      </c>
      <c r="E1200" s="74">
        <v>2753168526</v>
      </c>
      <c r="F1200" s="74">
        <v>19538105</v>
      </c>
      <c r="G1200" s="71">
        <f t="shared" si="54"/>
        <v>5216947230</v>
      </c>
      <c r="H1200" s="60">
        <v>3539802</v>
      </c>
      <c r="I1200" s="72" t="s">
        <v>402</v>
      </c>
    </row>
    <row r="1201" spans="1:9">
      <c r="A1201" s="68" t="s">
        <v>45</v>
      </c>
      <c r="B1201" s="69">
        <v>2012</v>
      </c>
      <c r="C1201" s="74">
        <v>1283194938</v>
      </c>
      <c r="D1201" s="74">
        <v>1179890529</v>
      </c>
      <c r="E1201" s="74">
        <v>2690058225</v>
      </c>
      <c r="F1201" s="74">
        <v>29621328</v>
      </c>
      <c r="G1201" s="71">
        <f t="shared" si="54"/>
        <v>5182765020</v>
      </c>
      <c r="H1201" s="60">
        <v>2992776</v>
      </c>
      <c r="I1201" s="72" t="s">
        <v>402</v>
      </c>
    </row>
    <row r="1202" spans="1:9">
      <c r="A1202" s="68"/>
      <c r="C1202" s="70"/>
      <c r="D1202" s="70"/>
      <c r="E1202" s="70"/>
      <c r="F1202" s="70"/>
      <c r="G1202" s="76"/>
      <c r="I1202" s="72"/>
    </row>
    <row r="1203" spans="1:9">
      <c r="A1203" s="68" t="s">
        <v>46</v>
      </c>
      <c r="B1203" s="69">
        <v>1988</v>
      </c>
      <c r="C1203" s="70">
        <v>122626500</v>
      </c>
      <c r="D1203" s="70">
        <v>110419005</v>
      </c>
      <c r="E1203" s="70">
        <v>93493091</v>
      </c>
      <c r="F1203" s="70">
        <v>32147720</v>
      </c>
      <c r="G1203" s="71">
        <f>SUM(C1203:F1203)</f>
        <v>358686316</v>
      </c>
      <c r="H1203" s="60">
        <v>0</v>
      </c>
      <c r="I1203" s="72"/>
    </row>
    <row r="1204" spans="1:9">
      <c r="A1204" s="68" t="s">
        <v>46</v>
      </c>
      <c r="B1204" s="69">
        <v>1989</v>
      </c>
      <c r="C1204" s="70">
        <v>121866023</v>
      </c>
      <c r="D1204" s="70">
        <v>103462668</v>
      </c>
      <c r="E1204" s="70">
        <v>114573357</v>
      </c>
      <c r="F1204" s="70">
        <v>31655100</v>
      </c>
      <c r="G1204" s="71">
        <f t="shared" ref="G1204:G1227" si="55">SUM(C1204:F1204)</f>
        <v>371557148</v>
      </c>
      <c r="H1204" s="60">
        <v>0</v>
      </c>
      <c r="I1204" s="72"/>
    </row>
    <row r="1205" spans="1:9">
      <c r="A1205" s="68" t="s">
        <v>46</v>
      </c>
      <c r="B1205" s="69">
        <v>1990</v>
      </c>
      <c r="C1205" s="70">
        <v>125284028</v>
      </c>
      <c r="D1205" s="70">
        <v>129964172.8</v>
      </c>
      <c r="E1205" s="70">
        <v>121889421</v>
      </c>
      <c r="F1205" s="70">
        <v>30348856</v>
      </c>
      <c r="G1205" s="71">
        <f t="shared" si="55"/>
        <v>407486477.80000001</v>
      </c>
      <c r="H1205" s="60">
        <v>0</v>
      </c>
      <c r="I1205" s="72"/>
    </row>
    <row r="1206" spans="1:9">
      <c r="A1206" s="68" t="s">
        <v>46</v>
      </c>
      <c r="B1206" s="69">
        <v>1991</v>
      </c>
      <c r="C1206" s="70">
        <v>140035940</v>
      </c>
      <c r="D1206" s="70">
        <v>97458725</v>
      </c>
      <c r="E1206" s="70">
        <v>121428543</v>
      </c>
      <c r="F1206" s="70">
        <v>46492982</v>
      </c>
      <c r="G1206" s="71">
        <f t="shared" si="55"/>
        <v>405416190</v>
      </c>
      <c r="H1206" s="60">
        <v>0</v>
      </c>
      <c r="I1206" s="72"/>
    </row>
    <row r="1207" spans="1:9">
      <c r="A1207" s="68" t="s">
        <v>46</v>
      </c>
      <c r="B1207" s="69">
        <v>1992</v>
      </c>
      <c r="C1207" s="70">
        <v>144127741</v>
      </c>
      <c r="D1207" s="70">
        <v>101249948.59999999</v>
      </c>
      <c r="E1207" s="70">
        <v>110744720</v>
      </c>
      <c r="F1207" s="70">
        <v>36425854</v>
      </c>
      <c r="G1207" s="71">
        <f t="shared" si="55"/>
        <v>392548263.60000002</v>
      </c>
      <c r="H1207" s="60">
        <v>0</v>
      </c>
      <c r="I1207" s="72"/>
    </row>
    <row r="1208" spans="1:9">
      <c r="A1208" s="68" t="s">
        <v>46</v>
      </c>
      <c r="B1208" s="69">
        <v>1993</v>
      </c>
      <c r="C1208" s="70">
        <v>149477430</v>
      </c>
      <c r="D1208" s="70">
        <v>91852476</v>
      </c>
      <c r="E1208" s="70">
        <v>100302377</v>
      </c>
      <c r="F1208" s="70">
        <v>24211331</v>
      </c>
      <c r="G1208" s="71">
        <f t="shared" si="55"/>
        <v>365843614</v>
      </c>
      <c r="H1208" s="60">
        <v>0</v>
      </c>
      <c r="I1208" s="72"/>
    </row>
    <row r="1209" spans="1:9">
      <c r="A1209" s="68" t="s">
        <v>46</v>
      </c>
      <c r="B1209" s="69">
        <v>1994</v>
      </c>
      <c r="C1209" s="70">
        <v>148603072</v>
      </c>
      <c r="D1209" s="70">
        <v>120243180</v>
      </c>
      <c r="E1209" s="70">
        <v>100735266</v>
      </c>
      <c r="F1209" s="70">
        <v>25504706</v>
      </c>
      <c r="G1209" s="71">
        <f t="shared" si="55"/>
        <v>395086224</v>
      </c>
      <c r="H1209" s="60">
        <v>0</v>
      </c>
      <c r="I1209" s="72"/>
    </row>
    <row r="1210" spans="1:9">
      <c r="A1210" s="68" t="s">
        <v>46</v>
      </c>
      <c r="B1210" s="69">
        <v>1995</v>
      </c>
      <c r="C1210" s="70">
        <v>156076340</v>
      </c>
      <c r="D1210" s="70">
        <v>130970112</v>
      </c>
      <c r="E1210" s="70">
        <v>103963046</v>
      </c>
      <c r="F1210" s="70">
        <v>26580328</v>
      </c>
      <c r="G1210" s="71">
        <f t="shared" si="55"/>
        <v>417589826</v>
      </c>
      <c r="H1210" s="60">
        <v>0</v>
      </c>
      <c r="I1210" s="72"/>
    </row>
    <row r="1211" spans="1:9">
      <c r="A1211" s="68" t="s">
        <v>46</v>
      </c>
      <c r="B1211" s="69">
        <v>1996</v>
      </c>
      <c r="C1211" s="70">
        <v>157634026</v>
      </c>
      <c r="D1211" s="70">
        <v>107804469</v>
      </c>
      <c r="E1211" s="70">
        <v>125040436</v>
      </c>
      <c r="F1211" s="70">
        <v>5126379</v>
      </c>
      <c r="G1211" s="71">
        <f t="shared" si="55"/>
        <v>395605310</v>
      </c>
      <c r="H1211" s="60">
        <v>0</v>
      </c>
      <c r="I1211" s="72"/>
    </row>
    <row r="1212" spans="1:9">
      <c r="A1212" s="68" t="s">
        <v>46</v>
      </c>
      <c r="B1212" s="69">
        <v>1997</v>
      </c>
      <c r="C1212" s="70">
        <v>185895076</v>
      </c>
      <c r="D1212" s="70">
        <v>134030611</v>
      </c>
      <c r="E1212" s="70">
        <v>136455905</v>
      </c>
      <c r="F1212" s="70">
        <v>19201038</v>
      </c>
      <c r="G1212" s="71">
        <f t="shared" si="55"/>
        <v>475582630</v>
      </c>
      <c r="H1212" s="60">
        <v>0</v>
      </c>
      <c r="I1212" s="72"/>
    </row>
    <row r="1213" spans="1:9">
      <c r="A1213" s="68" t="s">
        <v>46</v>
      </c>
      <c r="B1213" s="69">
        <v>1998</v>
      </c>
      <c r="C1213" s="70">
        <v>203025510</v>
      </c>
      <c r="D1213" s="70">
        <v>147820152</v>
      </c>
      <c r="E1213" s="70">
        <v>145892884</v>
      </c>
      <c r="F1213" s="70">
        <v>35091296</v>
      </c>
      <c r="G1213" s="71">
        <f t="shared" si="55"/>
        <v>531829842</v>
      </c>
      <c r="H1213" s="60">
        <v>0</v>
      </c>
      <c r="I1213" s="72"/>
    </row>
    <row r="1214" spans="1:9">
      <c r="A1214" s="68" t="s">
        <v>46</v>
      </c>
      <c r="B1214" s="69">
        <v>1999</v>
      </c>
      <c r="C1214" s="70">
        <v>172802446</v>
      </c>
      <c r="D1214" s="70">
        <v>157281818</v>
      </c>
      <c r="E1214" s="70">
        <v>162721759</v>
      </c>
      <c r="F1214" s="70">
        <v>20633887</v>
      </c>
      <c r="G1214" s="71">
        <f t="shared" si="55"/>
        <v>513439910</v>
      </c>
      <c r="H1214" s="60">
        <v>0</v>
      </c>
      <c r="I1214" s="72"/>
    </row>
    <row r="1215" spans="1:9">
      <c r="A1215" s="68" t="s">
        <v>46</v>
      </c>
      <c r="B1215" s="69">
        <v>2000</v>
      </c>
      <c r="C1215" s="70">
        <v>157480327</v>
      </c>
      <c r="D1215" s="70">
        <v>167531791</v>
      </c>
      <c r="E1215" s="70">
        <v>176952104</v>
      </c>
      <c r="F1215" s="70">
        <v>14182348</v>
      </c>
      <c r="G1215" s="71">
        <f t="shared" si="55"/>
        <v>516146570</v>
      </c>
      <c r="H1215" s="60">
        <v>0</v>
      </c>
      <c r="I1215" s="72"/>
    </row>
    <row r="1216" spans="1:9">
      <c r="A1216" s="68" t="s">
        <v>46</v>
      </c>
      <c r="B1216" s="69">
        <v>2001</v>
      </c>
      <c r="C1216" s="70">
        <v>163055866</v>
      </c>
      <c r="D1216" s="70">
        <v>208920556</v>
      </c>
      <c r="E1216" s="70">
        <v>180145681</v>
      </c>
      <c r="F1216" s="70">
        <v>26300720</v>
      </c>
      <c r="G1216" s="71">
        <f t="shared" si="55"/>
        <v>578422823</v>
      </c>
      <c r="H1216" s="60">
        <v>0</v>
      </c>
      <c r="I1216" s="72"/>
    </row>
    <row r="1217" spans="1:9">
      <c r="A1217" s="68" t="s">
        <v>46</v>
      </c>
      <c r="B1217" s="69">
        <v>2002</v>
      </c>
      <c r="C1217" s="70">
        <v>170834571</v>
      </c>
      <c r="D1217" s="70">
        <v>283646412</v>
      </c>
      <c r="E1217" s="70">
        <v>191392830</v>
      </c>
      <c r="F1217" s="70">
        <v>8116588</v>
      </c>
      <c r="G1217" s="71">
        <f t="shared" si="55"/>
        <v>653990401</v>
      </c>
      <c r="H1217" s="60">
        <v>0</v>
      </c>
      <c r="I1217" s="72"/>
    </row>
    <row r="1218" spans="1:9">
      <c r="A1218" s="68" t="s">
        <v>46</v>
      </c>
      <c r="B1218" s="69">
        <v>2003</v>
      </c>
      <c r="C1218" s="73">
        <v>177530714</v>
      </c>
      <c r="D1218" s="73">
        <v>258254076</v>
      </c>
      <c r="E1218" s="73">
        <v>196191535</v>
      </c>
      <c r="F1218" s="73">
        <v>10055004</v>
      </c>
      <c r="G1218" s="71">
        <f t="shared" si="55"/>
        <v>642031329</v>
      </c>
      <c r="H1218" s="60">
        <v>0</v>
      </c>
      <c r="I1218" s="72"/>
    </row>
    <row r="1219" spans="1:9">
      <c r="A1219" s="68" t="s">
        <v>46</v>
      </c>
      <c r="B1219" s="69">
        <v>2004</v>
      </c>
      <c r="C1219" s="73">
        <v>186017356</v>
      </c>
      <c r="D1219" s="73">
        <v>268779890</v>
      </c>
      <c r="E1219" s="73">
        <v>206948324</v>
      </c>
      <c r="F1219" s="73">
        <v>12025335</v>
      </c>
      <c r="G1219" s="71">
        <f t="shared" si="55"/>
        <v>673770905</v>
      </c>
      <c r="H1219" s="60">
        <v>0</v>
      </c>
      <c r="I1219" s="72"/>
    </row>
    <row r="1220" spans="1:9">
      <c r="A1220" s="68" t="s">
        <v>46</v>
      </c>
      <c r="B1220" s="69">
        <v>2005</v>
      </c>
      <c r="C1220" s="73">
        <v>185152502</v>
      </c>
      <c r="D1220" s="73">
        <v>236548777</v>
      </c>
      <c r="E1220" s="73">
        <v>239497821.16</v>
      </c>
      <c r="F1220" s="73">
        <v>13441274</v>
      </c>
      <c r="G1220" s="71">
        <f t="shared" si="55"/>
        <v>674640374.15999997</v>
      </c>
      <c r="H1220" s="60">
        <v>0</v>
      </c>
      <c r="I1220" s="72"/>
    </row>
    <row r="1221" spans="1:9">
      <c r="A1221" s="68" t="s">
        <v>46</v>
      </c>
      <c r="B1221" s="69">
        <v>2006</v>
      </c>
      <c r="C1221" s="74">
        <v>199520573</v>
      </c>
      <c r="D1221" s="74">
        <v>247475120</v>
      </c>
      <c r="E1221" s="74">
        <v>284171600</v>
      </c>
      <c r="F1221" s="74">
        <v>22308478</v>
      </c>
      <c r="G1221" s="71">
        <f t="shared" si="55"/>
        <v>753475771</v>
      </c>
      <c r="H1221" s="60">
        <v>0</v>
      </c>
      <c r="I1221" s="72"/>
    </row>
    <row r="1222" spans="1:9">
      <c r="A1222" s="68" t="s">
        <v>46</v>
      </c>
      <c r="B1222" s="69">
        <v>2007</v>
      </c>
      <c r="C1222" s="74">
        <v>212039129</v>
      </c>
      <c r="D1222" s="74">
        <v>247937825</v>
      </c>
      <c r="E1222" s="74">
        <v>366182457</v>
      </c>
      <c r="F1222" s="74">
        <v>11031139</v>
      </c>
      <c r="G1222" s="71">
        <f t="shared" si="55"/>
        <v>837190550</v>
      </c>
      <c r="H1222" s="60">
        <v>0</v>
      </c>
      <c r="I1222" s="72"/>
    </row>
    <row r="1223" spans="1:9">
      <c r="A1223" s="68" t="s">
        <v>46</v>
      </c>
      <c r="B1223" s="69">
        <v>2008</v>
      </c>
      <c r="C1223" s="74">
        <v>218058285</v>
      </c>
      <c r="D1223" s="74">
        <v>349485954</v>
      </c>
      <c r="E1223" s="74">
        <v>379046576</v>
      </c>
      <c r="F1223" s="74">
        <v>5983365</v>
      </c>
      <c r="G1223" s="71">
        <f t="shared" si="55"/>
        <v>952574180</v>
      </c>
      <c r="H1223" s="60">
        <v>0</v>
      </c>
      <c r="I1223" s="72"/>
    </row>
    <row r="1224" spans="1:9">
      <c r="A1224" s="68" t="s">
        <v>46</v>
      </c>
      <c r="B1224" s="69">
        <v>2009</v>
      </c>
      <c r="C1224" s="74">
        <v>212320959</v>
      </c>
      <c r="D1224" s="74">
        <v>361745779</v>
      </c>
      <c r="E1224" s="74">
        <v>437409588</v>
      </c>
      <c r="F1224" s="74">
        <v>22195721</v>
      </c>
      <c r="G1224" s="71">
        <f t="shared" si="55"/>
        <v>1033672047</v>
      </c>
      <c r="H1224" s="60">
        <v>0</v>
      </c>
      <c r="I1224" s="72"/>
    </row>
    <row r="1225" spans="1:9">
      <c r="A1225" s="68" t="s">
        <v>46</v>
      </c>
      <c r="B1225" s="69">
        <v>2010</v>
      </c>
      <c r="C1225" s="74">
        <v>228866126</v>
      </c>
      <c r="D1225" s="74">
        <v>296359502</v>
      </c>
      <c r="E1225" s="74">
        <v>483344143</v>
      </c>
      <c r="F1225" s="74">
        <v>14766102</v>
      </c>
      <c r="G1225" s="71">
        <f t="shared" si="55"/>
        <v>1023335873</v>
      </c>
      <c r="H1225" s="60">
        <v>0</v>
      </c>
      <c r="I1225" s="72"/>
    </row>
    <row r="1226" spans="1:9">
      <c r="A1226" s="68" t="s">
        <v>46</v>
      </c>
      <c r="B1226" s="69">
        <v>2011</v>
      </c>
      <c r="C1226" s="74">
        <v>272337659</v>
      </c>
      <c r="D1226" s="74">
        <v>350708627</v>
      </c>
      <c r="E1226" s="74">
        <v>448387273.58000004</v>
      </c>
      <c r="F1226" s="74">
        <v>20197399</v>
      </c>
      <c r="G1226" s="71">
        <f t="shared" si="55"/>
        <v>1091630958.5799999</v>
      </c>
      <c r="H1226" s="60">
        <v>0</v>
      </c>
      <c r="I1226" s="72"/>
    </row>
    <row r="1227" spans="1:9">
      <c r="A1227" s="68" t="s">
        <v>46</v>
      </c>
      <c r="B1227" s="69">
        <v>2012</v>
      </c>
      <c r="C1227" s="74">
        <v>231686232</v>
      </c>
      <c r="D1227" s="74">
        <v>333546998</v>
      </c>
      <c r="E1227" s="74">
        <v>375907026</v>
      </c>
      <c r="F1227" s="74">
        <v>10244346</v>
      </c>
      <c r="G1227" s="71">
        <f t="shared" si="55"/>
        <v>951384602</v>
      </c>
      <c r="H1227" s="60">
        <v>0</v>
      </c>
      <c r="I1227" s="72"/>
    </row>
    <row r="1228" spans="1:9">
      <c r="A1228" s="68"/>
      <c r="C1228" s="70"/>
      <c r="D1228" s="70"/>
      <c r="E1228" s="70"/>
      <c r="F1228" s="70"/>
      <c r="G1228" s="76"/>
      <c r="I1228" s="72"/>
    </row>
    <row r="1229" spans="1:9">
      <c r="A1229" s="68" t="s">
        <v>47</v>
      </c>
      <c r="B1229" s="69">
        <v>1988</v>
      </c>
      <c r="C1229" s="70">
        <v>1501089283</v>
      </c>
      <c r="D1229" s="70">
        <v>910923198</v>
      </c>
      <c r="E1229" s="70">
        <v>2363356212</v>
      </c>
      <c r="F1229" s="70">
        <v>0</v>
      </c>
      <c r="G1229" s="71">
        <f>SUM(C1229:F1229)</f>
        <v>4775368693</v>
      </c>
      <c r="H1229" s="60">
        <v>0</v>
      </c>
      <c r="I1229" s="72"/>
    </row>
    <row r="1230" spans="1:9">
      <c r="A1230" s="68" t="s">
        <v>47</v>
      </c>
      <c r="B1230" s="69">
        <v>1989</v>
      </c>
      <c r="C1230" s="70">
        <v>1543941404</v>
      </c>
      <c r="D1230" s="70">
        <v>1049042899</v>
      </c>
      <c r="E1230" s="70">
        <v>2657188303</v>
      </c>
      <c r="F1230" s="70">
        <v>0</v>
      </c>
      <c r="G1230" s="71">
        <f t="shared" ref="G1230:G1253" si="56">SUM(C1230:F1230)</f>
        <v>5250172606</v>
      </c>
      <c r="H1230" s="60">
        <v>0</v>
      </c>
      <c r="I1230" s="72"/>
    </row>
    <row r="1231" spans="1:9">
      <c r="A1231" s="68" t="s">
        <v>47</v>
      </c>
      <c r="B1231" s="69">
        <v>1990</v>
      </c>
      <c r="C1231" s="70">
        <v>1660561706</v>
      </c>
      <c r="D1231" s="70">
        <v>1103217804.1199999</v>
      </c>
      <c r="E1231" s="70">
        <v>2128224081</v>
      </c>
      <c r="F1231" s="70">
        <v>0</v>
      </c>
      <c r="G1231" s="71">
        <f t="shared" si="56"/>
        <v>4892003591.1199999</v>
      </c>
      <c r="H1231" s="60">
        <v>0</v>
      </c>
      <c r="I1231" s="72"/>
    </row>
    <row r="1232" spans="1:9">
      <c r="A1232" s="68" t="s">
        <v>47</v>
      </c>
      <c r="B1232" s="69">
        <v>1991</v>
      </c>
      <c r="C1232" s="70">
        <v>1729816670</v>
      </c>
      <c r="D1232" s="70">
        <v>945263271</v>
      </c>
      <c r="E1232" s="70">
        <v>2250538034</v>
      </c>
      <c r="F1232" s="70">
        <v>0</v>
      </c>
      <c r="G1232" s="71">
        <f t="shared" si="56"/>
        <v>4925617975</v>
      </c>
      <c r="H1232" s="60">
        <v>0</v>
      </c>
      <c r="I1232" s="72"/>
    </row>
    <row r="1233" spans="1:9">
      <c r="A1233" s="68" t="s">
        <v>47</v>
      </c>
      <c r="B1233" s="69">
        <v>1992</v>
      </c>
      <c r="C1233" s="70">
        <v>1889473142</v>
      </c>
      <c r="D1233" s="70">
        <v>1257251933.5599999</v>
      </c>
      <c r="E1233" s="70">
        <v>2348996620</v>
      </c>
      <c r="F1233" s="70">
        <v>0</v>
      </c>
      <c r="G1233" s="71">
        <f t="shared" si="56"/>
        <v>5495721695.5599995</v>
      </c>
      <c r="H1233" s="60">
        <v>0</v>
      </c>
      <c r="I1233" s="72"/>
    </row>
    <row r="1234" spans="1:9">
      <c r="A1234" s="68" t="s">
        <v>47</v>
      </c>
      <c r="B1234" s="69">
        <v>1993</v>
      </c>
      <c r="C1234" s="70">
        <v>1907656659</v>
      </c>
      <c r="D1234" s="70">
        <v>1126828951</v>
      </c>
      <c r="E1234" s="70">
        <v>2519918117</v>
      </c>
      <c r="F1234" s="70">
        <v>0</v>
      </c>
      <c r="G1234" s="71">
        <f t="shared" si="56"/>
        <v>5554403727</v>
      </c>
      <c r="H1234" s="60">
        <v>0</v>
      </c>
      <c r="I1234" s="72"/>
    </row>
    <row r="1235" spans="1:9">
      <c r="A1235" s="68" t="s">
        <v>47</v>
      </c>
      <c r="B1235" s="69">
        <v>1994</v>
      </c>
      <c r="C1235" s="70">
        <v>2049832358</v>
      </c>
      <c r="D1235" s="70">
        <v>1532486706</v>
      </c>
      <c r="E1235" s="70">
        <v>2520943348</v>
      </c>
      <c r="F1235" s="70">
        <v>0</v>
      </c>
      <c r="G1235" s="71">
        <f t="shared" si="56"/>
        <v>6103262412</v>
      </c>
      <c r="H1235" s="60">
        <v>0</v>
      </c>
      <c r="I1235" s="72"/>
    </row>
    <row r="1236" spans="1:9">
      <c r="A1236" s="68" t="s">
        <v>47</v>
      </c>
      <c r="B1236" s="69">
        <v>1995</v>
      </c>
      <c r="C1236" s="70">
        <v>2190692461</v>
      </c>
      <c r="D1236" s="70">
        <v>1400792149</v>
      </c>
      <c r="E1236" s="70">
        <v>2639522810</v>
      </c>
      <c r="F1236" s="70">
        <v>0</v>
      </c>
      <c r="G1236" s="71">
        <f t="shared" si="56"/>
        <v>6231007420</v>
      </c>
      <c r="H1236" s="60">
        <v>0</v>
      </c>
      <c r="I1236" s="72"/>
    </row>
    <row r="1237" spans="1:9">
      <c r="A1237" s="68" t="s">
        <v>47</v>
      </c>
      <c r="B1237" s="69">
        <v>1996</v>
      </c>
      <c r="C1237" s="70">
        <v>2227159561</v>
      </c>
      <c r="D1237" s="70">
        <v>1192305410</v>
      </c>
      <c r="E1237" s="70">
        <v>2690850982</v>
      </c>
      <c r="F1237" s="70">
        <v>0</v>
      </c>
      <c r="G1237" s="71">
        <f t="shared" si="56"/>
        <v>6110315953</v>
      </c>
      <c r="H1237" s="60">
        <v>0</v>
      </c>
      <c r="I1237" s="72"/>
    </row>
    <row r="1238" spans="1:9">
      <c r="A1238" s="68" t="s">
        <v>47</v>
      </c>
      <c r="B1238" s="69">
        <v>1997</v>
      </c>
      <c r="C1238" s="70">
        <v>2183619207</v>
      </c>
      <c r="D1238" s="70">
        <v>1364423874</v>
      </c>
      <c r="E1238" s="70">
        <v>2716987365</v>
      </c>
      <c r="F1238" s="70">
        <v>0</v>
      </c>
      <c r="G1238" s="71">
        <f t="shared" si="56"/>
        <v>6265030446</v>
      </c>
      <c r="H1238" s="60">
        <v>0</v>
      </c>
      <c r="I1238" s="72"/>
    </row>
    <row r="1239" spans="1:9">
      <c r="A1239" s="68" t="s">
        <v>47</v>
      </c>
      <c r="B1239" s="69">
        <v>1998</v>
      </c>
      <c r="C1239" s="70">
        <v>2343446115</v>
      </c>
      <c r="D1239" s="70">
        <v>1408582622</v>
      </c>
      <c r="E1239" s="70">
        <v>2828357943</v>
      </c>
      <c r="F1239" s="70">
        <v>0</v>
      </c>
      <c r="G1239" s="71">
        <f t="shared" si="56"/>
        <v>6580386680</v>
      </c>
      <c r="H1239" s="60">
        <v>0</v>
      </c>
      <c r="I1239" s="72"/>
    </row>
    <row r="1240" spans="1:9">
      <c r="A1240" s="68" t="s">
        <v>47</v>
      </c>
      <c r="B1240" s="69">
        <v>1999</v>
      </c>
      <c r="C1240" s="70">
        <v>2290594933</v>
      </c>
      <c r="D1240" s="70">
        <v>2028097258</v>
      </c>
      <c r="E1240" s="70">
        <v>3086655463</v>
      </c>
      <c r="F1240" s="70">
        <v>0</v>
      </c>
      <c r="G1240" s="71">
        <f t="shared" si="56"/>
        <v>7405347654</v>
      </c>
      <c r="H1240" s="60">
        <v>0</v>
      </c>
      <c r="I1240" s="72"/>
    </row>
    <row r="1241" spans="1:9">
      <c r="A1241" s="68" t="s">
        <v>47</v>
      </c>
      <c r="B1241" s="69">
        <v>2000</v>
      </c>
      <c r="C1241" s="70">
        <v>2495479386</v>
      </c>
      <c r="D1241" s="70">
        <v>2090547968</v>
      </c>
      <c r="E1241" s="70">
        <v>3622895043</v>
      </c>
      <c r="F1241" s="70">
        <v>0</v>
      </c>
      <c r="G1241" s="71">
        <f t="shared" si="56"/>
        <v>8208922397</v>
      </c>
      <c r="H1241" s="60">
        <v>0</v>
      </c>
      <c r="I1241" s="72"/>
    </row>
    <row r="1242" spans="1:9">
      <c r="A1242" s="68" t="s">
        <v>47</v>
      </c>
      <c r="B1242" s="69">
        <v>2001</v>
      </c>
      <c r="C1242" s="70">
        <v>2395872565</v>
      </c>
      <c r="D1242" s="70">
        <v>2486863710</v>
      </c>
      <c r="E1242" s="70">
        <v>3788332286</v>
      </c>
      <c r="F1242" s="70">
        <v>0</v>
      </c>
      <c r="G1242" s="71">
        <f t="shared" si="56"/>
        <v>8671068561</v>
      </c>
      <c r="H1242" s="60">
        <v>0</v>
      </c>
      <c r="I1242" s="72"/>
    </row>
    <row r="1243" spans="1:9">
      <c r="A1243" s="68" t="s">
        <v>47</v>
      </c>
      <c r="B1243" s="69">
        <v>2002</v>
      </c>
      <c r="C1243" s="70">
        <v>2422101179</v>
      </c>
      <c r="D1243" s="70">
        <v>3299077415</v>
      </c>
      <c r="E1243" s="70">
        <v>4625861868</v>
      </c>
      <c r="F1243" s="70">
        <v>0</v>
      </c>
      <c r="G1243" s="71">
        <f t="shared" si="56"/>
        <v>10347040462</v>
      </c>
      <c r="H1243" s="60">
        <v>0</v>
      </c>
      <c r="I1243" s="72"/>
    </row>
    <row r="1244" spans="1:9">
      <c r="A1244" s="68" t="s">
        <v>47</v>
      </c>
      <c r="B1244" s="69">
        <v>2003</v>
      </c>
      <c r="C1244" s="73">
        <v>2556657303</v>
      </c>
      <c r="D1244" s="73">
        <v>3079248641</v>
      </c>
      <c r="E1244" s="73">
        <v>5035520945</v>
      </c>
      <c r="F1244" s="73">
        <v>0</v>
      </c>
      <c r="G1244" s="71">
        <f t="shared" si="56"/>
        <v>10671426889</v>
      </c>
      <c r="H1244" s="60">
        <v>0</v>
      </c>
      <c r="I1244" s="72"/>
    </row>
    <row r="1245" spans="1:9">
      <c r="A1245" s="68" t="s">
        <v>47</v>
      </c>
      <c r="B1245" s="69">
        <v>2004</v>
      </c>
      <c r="C1245" s="73">
        <v>2614519974</v>
      </c>
      <c r="D1245" s="73">
        <v>2799229962</v>
      </c>
      <c r="E1245" s="73">
        <v>5516056428</v>
      </c>
      <c r="F1245" s="73">
        <v>0</v>
      </c>
      <c r="G1245" s="71">
        <f t="shared" si="56"/>
        <v>10929806364</v>
      </c>
      <c r="H1245" s="60">
        <v>0</v>
      </c>
    </row>
    <row r="1246" spans="1:9">
      <c r="A1246" s="68" t="s">
        <v>47</v>
      </c>
      <c r="B1246" s="69">
        <v>2005</v>
      </c>
      <c r="C1246" s="73">
        <v>2686824082</v>
      </c>
      <c r="D1246" s="73">
        <v>2409315752</v>
      </c>
      <c r="E1246" s="73">
        <v>5989332444.4399996</v>
      </c>
      <c r="F1246" s="73">
        <v>0</v>
      </c>
      <c r="G1246" s="71">
        <f t="shared" si="56"/>
        <v>11085472278.439999</v>
      </c>
      <c r="H1246" s="60">
        <v>0</v>
      </c>
    </row>
    <row r="1247" spans="1:9">
      <c r="A1247" s="68" t="s">
        <v>47</v>
      </c>
      <c r="B1247" s="69">
        <v>2006</v>
      </c>
      <c r="C1247" s="74">
        <v>2936162430</v>
      </c>
      <c r="D1247" s="74">
        <v>2702514754</v>
      </c>
      <c r="E1247" s="74">
        <v>5795171726</v>
      </c>
      <c r="F1247" s="74">
        <v>0</v>
      </c>
      <c r="G1247" s="71">
        <f t="shared" si="56"/>
        <v>11433848910</v>
      </c>
      <c r="H1247" s="60">
        <v>0</v>
      </c>
    </row>
    <row r="1248" spans="1:9">
      <c r="A1248" s="68" t="s">
        <v>47</v>
      </c>
      <c r="B1248" s="69">
        <v>2007</v>
      </c>
      <c r="C1248" s="74">
        <v>2991698548</v>
      </c>
      <c r="D1248" s="74">
        <v>2668467549</v>
      </c>
      <c r="E1248" s="74">
        <v>6636005822</v>
      </c>
      <c r="F1248" s="74">
        <v>0</v>
      </c>
      <c r="G1248" s="71">
        <f t="shared" si="56"/>
        <v>12296171919</v>
      </c>
      <c r="H1248" s="60">
        <v>0</v>
      </c>
    </row>
    <row r="1249" spans="1:9">
      <c r="A1249" s="68" t="s">
        <v>47</v>
      </c>
      <c r="B1249" s="69">
        <v>2008</v>
      </c>
      <c r="C1249" s="74">
        <v>3100365954</v>
      </c>
      <c r="D1249" s="74">
        <v>4007178223</v>
      </c>
      <c r="E1249" s="74">
        <v>7028334298</v>
      </c>
      <c r="F1249" s="74">
        <v>0</v>
      </c>
      <c r="G1249" s="71">
        <f t="shared" si="56"/>
        <v>14135878475</v>
      </c>
      <c r="H1249" s="60">
        <v>0</v>
      </c>
    </row>
    <row r="1250" spans="1:9">
      <c r="A1250" s="68" t="s">
        <v>47</v>
      </c>
      <c r="B1250" s="69">
        <v>2009</v>
      </c>
      <c r="C1250" s="74">
        <v>3482986689</v>
      </c>
      <c r="D1250" s="74">
        <v>3893096464</v>
      </c>
      <c r="E1250" s="74">
        <v>7287630663</v>
      </c>
      <c r="F1250" s="74">
        <v>0</v>
      </c>
      <c r="G1250" s="71">
        <f t="shared" si="56"/>
        <v>14663713816</v>
      </c>
      <c r="H1250" s="60">
        <v>0</v>
      </c>
    </row>
    <row r="1251" spans="1:9">
      <c r="A1251" s="68" t="s">
        <v>47</v>
      </c>
      <c r="B1251" s="69">
        <v>2010</v>
      </c>
      <c r="C1251" s="74">
        <v>3607092710</v>
      </c>
      <c r="D1251" s="74">
        <v>3469447420</v>
      </c>
      <c r="E1251" s="74">
        <v>7181231192</v>
      </c>
      <c r="F1251" s="74">
        <v>93676191</v>
      </c>
      <c r="G1251" s="71">
        <f t="shared" si="56"/>
        <v>14351447513</v>
      </c>
      <c r="H1251" s="60">
        <v>41955158</v>
      </c>
      <c r="I1251" s="60" t="s">
        <v>402</v>
      </c>
    </row>
    <row r="1252" spans="1:9">
      <c r="A1252" s="68" t="s">
        <v>47</v>
      </c>
      <c r="B1252" s="69">
        <v>2011</v>
      </c>
      <c r="C1252" s="74">
        <v>3709199847</v>
      </c>
      <c r="D1252" s="74">
        <v>3379817973</v>
      </c>
      <c r="E1252" s="74">
        <v>6944334442</v>
      </c>
      <c r="F1252" s="74">
        <v>128740547</v>
      </c>
      <c r="G1252" s="71">
        <f t="shared" si="56"/>
        <v>14162092809</v>
      </c>
      <c r="H1252" s="60">
        <v>19314425</v>
      </c>
      <c r="I1252" s="60" t="s">
        <v>402</v>
      </c>
    </row>
    <row r="1253" spans="1:9">
      <c r="A1253" s="68" t="s">
        <v>47</v>
      </c>
      <c r="B1253" s="69">
        <v>2012</v>
      </c>
      <c r="C1253" s="74">
        <v>3986860876</v>
      </c>
      <c r="D1253" s="74">
        <v>3970689965</v>
      </c>
      <c r="E1253" s="74">
        <v>6494107159</v>
      </c>
      <c r="F1253" s="74">
        <v>274323277</v>
      </c>
      <c r="G1253" s="71">
        <f t="shared" si="56"/>
        <v>14725981277</v>
      </c>
      <c r="H1253" s="60">
        <v>24157302</v>
      </c>
      <c r="I1253" s="60" t="s">
        <v>402</v>
      </c>
    </row>
    <row r="1254" spans="1:9">
      <c r="A1254" s="68"/>
      <c r="C1254" s="70"/>
      <c r="D1254" s="70"/>
      <c r="E1254" s="70"/>
      <c r="F1254" s="70"/>
      <c r="G1254" s="71"/>
      <c r="I1254" s="72"/>
    </row>
    <row r="1255" spans="1:9">
      <c r="A1255" s="68" t="s">
        <v>48</v>
      </c>
      <c r="B1255" s="69">
        <v>1988</v>
      </c>
      <c r="C1255" s="70">
        <v>840791631</v>
      </c>
      <c r="D1255" s="70">
        <v>1043673472</v>
      </c>
      <c r="E1255" s="70">
        <v>591169771</v>
      </c>
      <c r="F1255" s="70">
        <v>437364236</v>
      </c>
      <c r="G1255" s="71">
        <f>SUM(C1255:F1255)</f>
        <v>2912999110</v>
      </c>
      <c r="H1255" s="60">
        <v>0</v>
      </c>
      <c r="I1255" s="72"/>
    </row>
    <row r="1256" spans="1:9">
      <c r="A1256" s="68" t="s">
        <v>48</v>
      </c>
      <c r="B1256" s="69">
        <v>1989</v>
      </c>
      <c r="C1256" s="70">
        <v>807137955</v>
      </c>
      <c r="D1256" s="70">
        <v>1210734505</v>
      </c>
      <c r="E1256" s="70">
        <v>640054085</v>
      </c>
      <c r="F1256" s="70">
        <v>488580358</v>
      </c>
      <c r="G1256" s="71">
        <f t="shared" ref="G1256:G1273" si="57">SUM(C1256:F1256)</f>
        <v>3146506903</v>
      </c>
      <c r="H1256" s="60">
        <v>0</v>
      </c>
      <c r="I1256" s="72"/>
    </row>
    <row r="1257" spans="1:9">
      <c r="A1257" s="68" t="s">
        <v>48</v>
      </c>
      <c r="B1257" s="69">
        <v>1990</v>
      </c>
      <c r="C1257" s="70">
        <v>894491367</v>
      </c>
      <c r="D1257" s="70">
        <v>1237761805.3199999</v>
      </c>
      <c r="E1257" s="70">
        <v>698740449</v>
      </c>
      <c r="F1257" s="70">
        <v>521619599</v>
      </c>
      <c r="G1257" s="71">
        <f t="shared" si="57"/>
        <v>3352613220.3199997</v>
      </c>
      <c r="H1257" s="60">
        <v>0</v>
      </c>
      <c r="I1257" s="72"/>
    </row>
    <row r="1258" spans="1:9">
      <c r="A1258" s="68" t="s">
        <v>48</v>
      </c>
      <c r="B1258" s="69">
        <v>1991</v>
      </c>
      <c r="C1258" s="70">
        <v>942705118</v>
      </c>
      <c r="D1258" s="70">
        <v>1153819584</v>
      </c>
      <c r="E1258" s="70">
        <v>779175455</v>
      </c>
      <c r="F1258" s="70">
        <v>668575581</v>
      </c>
      <c r="G1258" s="71">
        <f t="shared" si="57"/>
        <v>3544275738</v>
      </c>
      <c r="H1258" s="60">
        <v>0</v>
      </c>
      <c r="I1258" s="72"/>
    </row>
    <row r="1259" spans="1:9">
      <c r="A1259" s="68" t="s">
        <v>48</v>
      </c>
      <c r="B1259" s="69">
        <v>1992</v>
      </c>
      <c r="C1259" s="70">
        <v>978983875</v>
      </c>
      <c r="D1259" s="70">
        <v>1242921039.6400001</v>
      </c>
      <c r="E1259" s="70">
        <v>794668027</v>
      </c>
      <c r="F1259" s="70">
        <v>622392323</v>
      </c>
      <c r="G1259" s="71">
        <f t="shared" si="57"/>
        <v>3638965264.6400003</v>
      </c>
      <c r="H1259" s="60">
        <v>0</v>
      </c>
      <c r="I1259" s="72"/>
    </row>
    <row r="1260" spans="1:9">
      <c r="A1260" s="68" t="s">
        <v>48</v>
      </c>
      <c r="B1260" s="69">
        <v>1993</v>
      </c>
      <c r="C1260" s="70">
        <v>1043427820</v>
      </c>
      <c r="D1260" s="70">
        <v>1103729433</v>
      </c>
      <c r="E1260" s="70">
        <v>858202022</v>
      </c>
      <c r="F1260" s="70">
        <v>691524499</v>
      </c>
      <c r="G1260" s="71">
        <f t="shared" si="57"/>
        <v>3696883774</v>
      </c>
      <c r="H1260" s="60">
        <v>0</v>
      </c>
      <c r="I1260" s="72"/>
    </row>
    <row r="1261" spans="1:9">
      <c r="A1261" s="68" t="s">
        <v>48</v>
      </c>
      <c r="B1261" s="69">
        <v>1994</v>
      </c>
      <c r="C1261" s="70">
        <v>1124669859</v>
      </c>
      <c r="D1261" s="70">
        <v>1422941443</v>
      </c>
      <c r="E1261" s="70">
        <v>902566719</v>
      </c>
      <c r="F1261" s="70">
        <v>459774576</v>
      </c>
      <c r="G1261" s="71">
        <f t="shared" si="57"/>
        <v>3909952597</v>
      </c>
      <c r="H1261" s="60">
        <v>0</v>
      </c>
      <c r="I1261" s="72"/>
    </row>
    <row r="1262" spans="1:9">
      <c r="A1262" s="68" t="s">
        <v>48</v>
      </c>
      <c r="B1262" s="69">
        <v>1995</v>
      </c>
      <c r="C1262" s="70">
        <v>1162485889</v>
      </c>
      <c r="D1262" s="70">
        <v>1463600440</v>
      </c>
      <c r="E1262" s="70">
        <v>864885764</v>
      </c>
      <c r="F1262" s="70">
        <v>493225941</v>
      </c>
      <c r="G1262" s="71">
        <f t="shared" si="57"/>
        <v>3984198034</v>
      </c>
      <c r="H1262" s="60">
        <v>0</v>
      </c>
      <c r="I1262" s="72"/>
    </row>
    <row r="1263" spans="1:9">
      <c r="A1263" s="68" t="s">
        <v>48</v>
      </c>
      <c r="B1263" s="69">
        <v>1996</v>
      </c>
      <c r="C1263" s="70">
        <v>1236711432</v>
      </c>
      <c r="D1263" s="70">
        <v>1266424365</v>
      </c>
      <c r="E1263" s="70">
        <v>905247281</v>
      </c>
      <c r="F1263" s="70">
        <v>369674707</v>
      </c>
      <c r="G1263" s="71">
        <f t="shared" si="57"/>
        <v>3778057785</v>
      </c>
      <c r="H1263" s="60">
        <v>0</v>
      </c>
      <c r="I1263" s="72"/>
    </row>
    <row r="1264" spans="1:9">
      <c r="A1264" s="68" t="s">
        <v>48</v>
      </c>
      <c r="B1264" s="69">
        <v>1997</v>
      </c>
      <c r="C1264" s="70">
        <v>1242837207</v>
      </c>
      <c r="D1264" s="70">
        <v>1251259432</v>
      </c>
      <c r="E1264" s="70">
        <v>909853333</v>
      </c>
      <c r="F1264" s="70">
        <v>605162364</v>
      </c>
      <c r="G1264" s="71">
        <f t="shared" si="57"/>
        <v>4009112336</v>
      </c>
      <c r="H1264" s="60">
        <v>0</v>
      </c>
      <c r="I1264" s="72"/>
    </row>
    <row r="1265" spans="1:9">
      <c r="A1265" s="68" t="s">
        <v>48</v>
      </c>
      <c r="B1265" s="69">
        <v>1998</v>
      </c>
      <c r="C1265" s="70">
        <v>1232207831</v>
      </c>
      <c r="D1265" s="70">
        <v>1363392378</v>
      </c>
      <c r="E1265" s="70">
        <v>958797014</v>
      </c>
      <c r="F1265" s="70">
        <v>527811650</v>
      </c>
      <c r="G1265" s="71">
        <f t="shared" si="57"/>
        <v>4082208873</v>
      </c>
      <c r="H1265" s="60">
        <v>0</v>
      </c>
      <c r="I1265" s="72"/>
    </row>
    <row r="1266" spans="1:9">
      <c r="A1266" s="68" t="s">
        <v>48</v>
      </c>
      <c r="B1266" s="69">
        <v>1999</v>
      </c>
      <c r="C1266" s="70">
        <v>1271654835</v>
      </c>
      <c r="D1266" s="70">
        <v>2316038643</v>
      </c>
      <c r="E1266" s="70">
        <v>1100946533</v>
      </c>
      <c r="F1266" s="70">
        <v>455794281</v>
      </c>
      <c r="G1266" s="71">
        <f t="shared" si="57"/>
        <v>5144434292</v>
      </c>
      <c r="H1266" s="60">
        <v>0</v>
      </c>
      <c r="I1266" s="72"/>
    </row>
    <row r="1267" spans="1:9">
      <c r="A1267" s="68" t="s">
        <v>48</v>
      </c>
      <c r="B1267" s="69">
        <v>2000</v>
      </c>
      <c r="C1267" s="70">
        <v>1399369958</v>
      </c>
      <c r="D1267" s="70">
        <v>1872146199</v>
      </c>
      <c r="E1267" s="70">
        <v>1106871192</v>
      </c>
      <c r="F1267" s="70">
        <v>395949555</v>
      </c>
      <c r="G1267" s="71">
        <f t="shared" si="57"/>
        <v>4774336904</v>
      </c>
      <c r="H1267" s="60">
        <v>0</v>
      </c>
      <c r="I1267" s="72"/>
    </row>
    <row r="1268" spans="1:9">
      <c r="A1268" s="68" t="s">
        <v>48</v>
      </c>
      <c r="B1268" s="69">
        <v>2001</v>
      </c>
      <c r="C1268" s="70">
        <v>1371867485</v>
      </c>
      <c r="D1268" s="79">
        <v>2318848681</v>
      </c>
      <c r="E1268" s="70">
        <v>1215145558</v>
      </c>
      <c r="F1268" s="70">
        <v>246709902</v>
      </c>
      <c r="G1268" s="71">
        <f t="shared" si="57"/>
        <v>5152571626</v>
      </c>
      <c r="H1268" s="60">
        <f>23723796+149</f>
        <v>23723945</v>
      </c>
      <c r="I1268" s="72" t="s">
        <v>402</v>
      </c>
    </row>
    <row r="1269" spans="1:9">
      <c r="A1269" s="68" t="s">
        <v>48</v>
      </c>
      <c r="B1269" s="69">
        <v>2002</v>
      </c>
      <c r="C1269" s="70">
        <v>1527129090</v>
      </c>
      <c r="D1269" s="70">
        <v>3062591423</v>
      </c>
      <c r="E1269" s="70">
        <v>1289837101</v>
      </c>
      <c r="F1269" s="70">
        <v>134508901</v>
      </c>
      <c r="G1269" s="71">
        <f t="shared" si="57"/>
        <v>6014066515</v>
      </c>
      <c r="H1269" s="60">
        <v>30730343</v>
      </c>
      <c r="I1269" s="72" t="s">
        <v>402</v>
      </c>
    </row>
    <row r="1270" spans="1:9">
      <c r="A1270" s="68" t="s">
        <v>48</v>
      </c>
      <c r="B1270" s="69">
        <v>2003</v>
      </c>
      <c r="C1270" s="73">
        <v>1539818330</v>
      </c>
      <c r="D1270" s="73">
        <v>2657266249</v>
      </c>
      <c r="E1270" s="73">
        <v>1474547040</v>
      </c>
      <c r="F1270" s="73">
        <v>107950133</v>
      </c>
      <c r="G1270" s="71">
        <f t="shared" si="57"/>
        <v>5779581752</v>
      </c>
      <c r="H1270" s="60">
        <f>30007292+39064</f>
        <v>30046356</v>
      </c>
      <c r="I1270" s="72" t="s">
        <v>402</v>
      </c>
    </row>
    <row r="1271" spans="1:9">
      <c r="A1271" s="68" t="s">
        <v>48</v>
      </c>
      <c r="B1271" s="69">
        <v>2004</v>
      </c>
      <c r="C1271" s="73">
        <v>1543364705</v>
      </c>
      <c r="D1271" s="73">
        <v>2441411809</v>
      </c>
      <c r="E1271" s="73">
        <v>1636749017</v>
      </c>
      <c r="F1271" s="73">
        <v>86959788</v>
      </c>
      <c r="G1271" s="71">
        <f t="shared" si="57"/>
        <v>5708485319</v>
      </c>
      <c r="H1271" s="60">
        <v>199140577</v>
      </c>
      <c r="I1271" s="72" t="s">
        <v>402</v>
      </c>
    </row>
    <row r="1272" spans="1:9">
      <c r="A1272" s="68" t="s">
        <v>48</v>
      </c>
      <c r="B1272" s="69">
        <v>2005</v>
      </c>
      <c r="C1272" s="73">
        <v>1658829760</v>
      </c>
      <c r="D1272" s="73">
        <v>1799373465</v>
      </c>
      <c r="E1272" s="73">
        <v>1796449633</v>
      </c>
      <c r="F1272" s="73">
        <v>113316782</v>
      </c>
      <c r="G1272" s="71">
        <f t="shared" si="57"/>
        <v>5367969640</v>
      </c>
      <c r="H1272" s="60">
        <f>12387890+917312</f>
        <v>13305202</v>
      </c>
      <c r="I1272" s="72" t="s">
        <v>402</v>
      </c>
    </row>
    <row r="1273" spans="1:9">
      <c r="A1273" s="68" t="s">
        <v>48</v>
      </c>
      <c r="B1273" s="69">
        <v>2006</v>
      </c>
      <c r="C1273" s="74">
        <v>1674325987</v>
      </c>
      <c r="D1273" s="74">
        <v>1929963560</v>
      </c>
      <c r="E1273" s="74">
        <v>2094078881</v>
      </c>
      <c r="F1273" s="74">
        <v>70571900</v>
      </c>
      <c r="G1273" s="71">
        <f t="shared" si="57"/>
        <v>5768940328</v>
      </c>
      <c r="H1273" s="60">
        <v>51596854</v>
      </c>
      <c r="I1273" s="72" t="s">
        <v>402</v>
      </c>
    </row>
    <row r="1274" spans="1:9">
      <c r="A1274" s="68" t="s">
        <v>48</v>
      </c>
      <c r="B1274" s="69">
        <v>2007</v>
      </c>
      <c r="C1274" s="74">
        <v>1692386178</v>
      </c>
      <c r="D1274" s="74">
        <v>2266111280</v>
      </c>
      <c r="E1274" s="74">
        <v>2433202435</v>
      </c>
      <c r="F1274" s="74">
        <v>95548221</v>
      </c>
      <c r="G1274" s="71">
        <f t="shared" ref="G1274:G1279" si="58">SUM(C1274:F1274)</f>
        <v>6487248114</v>
      </c>
      <c r="H1274" s="60">
        <v>109611907</v>
      </c>
      <c r="I1274" s="60" t="s">
        <v>402</v>
      </c>
    </row>
    <row r="1275" spans="1:9">
      <c r="A1275" s="68" t="s">
        <v>48</v>
      </c>
      <c r="B1275" s="69">
        <v>2008</v>
      </c>
      <c r="C1275" s="74">
        <v>1731890072</v>
      </c>
      <c r="D1275" s="74">
        <v>2950403754</v>
      </c>
      <c r="E1275" s="74">
        <v>2668272497</v>
      </c>
      <c r="F1275" s="74">
        <v>79422446</v>
      </c>
      <c r="G1275" s="71">
        <f t="shared" si="58"/>
        <v>7429988769</v>
      </c>
      <c r="H1275" s="60">
        <v>54436032</v>
      </c>
      <c r="I1275" s="60" t="s">
        <v>402</v>
      </c>
    </row>
    <row r="1276" spans="1:9">
      <c r="A1276" s="68" t="s">
        <v>48</v>
      </c>
      <c r="B1276" s="69">
        <v>2009</v>
      </c>
      <c r="C1276" s="74">
        <v>1864454247</v>
      </c>
      <c r="D1276" s="74">
        <v>2978714074</v>
      </c>
      <c r="E1276" s="74">
        <v>2765847273</v>
      </c>
      <c r="F1276" s="74">
        <v>91135205</v>
      </c>
      <c r="G1276" s="71">
        <f t="shared" si="58"/>
        <v>7700150799</v>
      </c>
      <c r="H1276" s="60">
        <v>62422429</v>
      </c>
      <c r="I1276" s="60" t="s">
        <v>402</v>
      </c>
    </row>
    <row r="1277" spans="1:9">
      <c r="A1277" s="68" t="s">
        <v>48</v>
      </c>
      <c r="B1277" s="69">
        <v>2010</v>
      </c>
      <c r="C1277" s="74">
        <v>1954403996</v>
      </c>
      <c r="D1277" s="75">
        <v>2823129275</v>
      </c>
      <c r="E1277" s="75">
        <v>2902109855</v>
      </c>
      <c r="F1277" s="75">
        <v>59491573</v>
      </c>
      <c r="G1277" s="71">
        <f t="shared" si="58"/>
        <v>7739134699</v>
      </c>
      <c r="H1277" s="60">
        <f>64086928</f>
        <v>64086928</v>
      </c>
      <c r="I1277" s="60" t="s">
        <v>402</v>
      </c>
    </row>
    <row r="1278" spans="1:9">
      <c r="A1278" s="68" t="s">
        <v>48</v>
      </c>
      <c r="B1278" s="69">
        <v>2011</v>
      </c>
      <c r="C1278" s="74">
        <v>2019440686</v>
      </c>
      <c r="D1278" s="75">
        <v>2628272514</v>
      </c>
      <c r="E1278" s="75">
        <v>3747407935</v>
      </c>
      <c r="F1278" s="75">
        <v>135034467</v>
      </c>
      <c r="G1278" s="71">
        <f t="shared" si="58"/>
        <v>8530155602</v>
      </c>
      <c r="H1278" s="60">
        <v>43211320</v>
      </c>
      <c r="I1278" s="60" t="s">
        <v>402</v>
      </c>
    </row>
    <row r="1279" spans="1:9">
      <c r="A1279" s="68" t="s">
        <v>48</v>
      </c>
      <c r="B1279" s="69">
        <v>2012</v>
      </c>
      <c r="C1279" s="74">
        <v>2220767201</v>
      </c>
      <c r="D1279" s="75">
        <v>2613119780</v>
      </c>
      <c r="E1279" s="75">
        <v>2688872525</v>
      </c>
      <c r="F1279" s="75">
        <v>68544498</v>
      </c>
      <c r="G1279" s="71">
        <f t="shared" si="58"/>
        <v>7591304004</v>
      </c>
      <c r="H1279" s="60">
        <v>60246443</v>
      </c>
      <c r="I1279" s="60" t="s">
        <v>402</v>
      </c>
    </row>
    <row r="1280" spans="1:9">
      <c r="A1280" s="68"/>
      <c r="C1280" s="70"/>
      <c r="D1280" s="70"/>
      <c r="E1280" s="70"/>
      <c r="F1280" s="70"/>
      <c r="G1280" s="76"/>
      <c r="I1280" s="72"/>
    </row>
    <row r="1281" spans="1:9">
      <c r="A1281" s="68" t="s">
        <v>49</v>
      </c>
      <c r="B1281" s="69">
        <v>1988</v>
      </c>
      <c r="C1281" s="70">
        <v>319827097</v>
      </c>
      <c r="D1281" s="70">
        <v>211836963</v>
      </c>
      <c r="E1281" s="70">
        <v>350969222</v>
      </c>
      <c r="F1281" s="70">
        <v>0</v>
      </c>
      <c r="G1281" s="71">
        <f>SUM(C1281:F1281)</f>
        <v>882633282</v>
      </c>
      <c r="H1281" s="60">
        <v>0</v>
      </c>
      <c r="I1281" s="72"/>
    </row>
    <row r="1282" spans="1:9">
      <c r="A1282" s="68" t="s">
        <v>49</v>
      </c>
      <c r="B1282" s="69">
        <v>1989</v>
      </c>
      <c r="C1282" s="70">
        <v>321654307</v>
      </c>
      <c r="D1282" s="70">
        <v>219131663</v>
      </c>
      <c r="E1282" s="70">
        <v>371883149</v>
      </c>
      <c r="F1282" s="70">
        <v>0</v>
      </c>
      <c r="G1282" s="71">
        <f t="shared" ref="G1282:G1305" si="59">SUM(C1282:F1282)</f>
        <v>912669119</v>
      </c>
      <c r="H1282" s="60">
        <v>0</v>
      </c>
      <c r="I1282" s="72"/>
    </row>
    <row r="1283" spans="1:9">
      <c r="A1283" s="68" t="s">
        <v>49</v>
      </c>
      <c r="B1283" s="69">
        <v>1990</v>
      </c>
      <c r="C1283" s="70">
        <v>325388423</v>
      </c>
      <c r="D1283" s="70">
        <v>219521543.72</v>
      </c>
      <c r="E1283" s="70">
        <v>456136849</v>
      </c>
      <c r="F1283" s="70">
        <v>0</v>
      </c>
      <c r="G1283" s="71">
        <f t="shared" si="59"/>
        <v>1001046815.72</v>
      </c>
      <c r="H1283" s="60">
        <v>0</v>
      </c>
      <c r="I1283" s="72"/>
    </row>
    <row r="1284" spans="1:9">
      <c r="A1284" s="68" t="s">
        <v>49</v>
      </c>
      <c r="B1284" s="69">
        <v>1991</v>
      </c>
      <c r="C1284" s="70">
        <v>368245037</v>
      </c>
      <c r="D1284" s="70">
        <v>210735750</v>
      </c>
      <c r="E1284" s="70">
        <v>502025018</v>
      </c>
      <c r="F1284" s="70">
        <v>0</v>
      </c>
      <c r="G1284" s="71">
        <f t="shared" si="59"/>
        <v>1081005805</v>
      </c>
      <c r="H1284" s="60">
        <v>0</v>
      </c>
      <c r="I1284" s="72"/>
    </row>
    <row r="1285" spans="1:9">
      <c r="A1285" s="68" t="s">
        <v>49</v>
      </c>
      <c r="B1285" s="69">
        <v>1992</v>
      </c>
      <c r="C1285" s="70">
        <v>376679927</v>
      </c>
      <c r="D1285" s="70">
        <v>242273021.44</v>
      </c>
      <c r="E1285" s="70">
        <v>512768938</v>
      </c>
      <c r="F1285" s="70">
        <v>0</v>
      </c>
      <c r="G1285" s="71">
        <f t="shared" si="59"/>
        <v>1131721886.4400001</v>
      </c>
      <c r="H1285" s="60">
        <v>0</v>
      </c>
      <c r="I1285" s="72"/>
    </row>
    <row r="1286" spans="1:9">
      <c r="A1286" s="68" t="s">
        <v>49</v>
      </c>
      <c r="B1286" s="69">
        <v>1993</v>
      </c>
      <c r="C1286" s="70">
        <v>385572008</v>
      </c>
      <c r="D1286" s="70">
        <v>213513375</v>
      </c>
      <c r="E1286" s="70">
        <v>532791316</v>
      </c>
      <c r="F1286" s="70">
        <v>37437552</v>
      </c>
      <c r="G1286" s="71">
        <f t="shared" si="59"/>
        <v>1169314251</v>
      </c>
      <c r="H1286" s="60">
        <v>0</v>
      </c>
      <c r="I1286" s="72"/>
    </row>
    <row r="1287" spans="1:9">
      <c r="A1287" s="68" t="s">
        <v>49</v>
      </c>
      <c r="B1287" s="69">
        <v>1994</v>
      </c>
      <c r="C1287" s="70">
        <v>401468979</v>
      </c>
      <c r="D1287" s="70">
        <v>296839571</v>
      </c>
      <c r="E1287" s="70">
        <v>536393798</v>
      </c>
      <c r="F1287" s="70">
        <v>7407963</v>
      </c>
      <c r="G1287" s="71">
        <f t="shared" si="59"/>
        <v>1242110311</v>
      </c>
      <c r="H1287" s="60">
        <v>0</v>
      </c>
      <c r="I1287" s="72"/>
    </row>
    <row r="1288" spans="1:9">
      <c r="A1288" s="68" t="s">
        <v>49</v>
      </c>
      <c r="B1288" s="69">
        <v>1995</v>
      </c>
      <c r="C1288" s="70">
        <v>432912350</v>
      </c>
      <c r="D1288" s="70">
        <v>336766379</v>
      </c>
      <c r="E1288" s="70">
        <v>534013201</v>
      </c>
      <c r="F1288" s="70">
        <v>47207038</v>
      </c>
      <c r="G1288" s="71">
        <f t="shared" si="59"/>
        <v>1350898968</v>
      </c>
      <c r="H1288" s="60">
        <v>0</v>
      </c>
      <c r="I1288" s="72"/>
    </row>
    <row r="1289" spans="1:9">
      <c r="A1289" s="68" t="s">
        <v>49</v>
      </c>
      <c r="B1289" s="69">
        <v>1996</v>
      </c>
      <c r="C1289" s="70">
        <v>406121463</v>
      </c>
      <c r="D1289" s="70">
        <v>268629892</v>
      </c>
      <c r="E1289" s="70">
        <v>565547539</v>
      </c>
      <c r="F1289" s="70">
        <v>24256408</v>
      </c>
      <c r="G1289" s="71">
        <f t="shared" si="59"/>
        <v>1264555302</v>
      </c>
      <c r="H1289" s="60">
        <v>0</v>
      </c>
      <c r="I1289" s="72"/>
    </row>
    <row r="1290" spans="1:9">
      <c r="A1290" s="68" t="s">
        <v>49</v>
      </c>
      <c r="B1290" s="69">
        <v>1997</v>
      </c>
      <c r="C1290" s="70">
        <v>450394807</v>
      </c>
      <c r="D1290" s="70">
        <v>247316630</v>
      </c>
      <c r="E1290" s="70">
        <v>574590966</v>
      </c>
      <c r="F1290" s="70">
        <v>24959051</v>
      </c>
      <c r="G1290" s="71">
        <f t="shared" si="59"/>
        <v>1297261454</v>
      </c>
      <c r="H1290" s="60">
        <v>0</v>
      </c>
      <c r="I1290" s="72"/>
    </row>
    <row r="1291" spans="1:9">
      <c r="A1291" s="68" t="s">
        <v>49</v>
      </c>
      <c r="B1291" s="69">
        <v>1998</v>
      </c>
      <c r="C1291" s="70">
        <v>425880377</v>
      </c>
      <c r="D1291" s="70">
        <v>234904435</v>
      </c>
      <c r="E1291" s="70">
        <v>598353464</v>
      </c>
      <c r="F1291" s="70">
        <v>39620560</v>
      </c>
      <c r="G1291" s="71">
        <f t="shared" si="59"/>
        <v>1298758836</v>
      </c>
      <c r="H1291" s="60">
        <v>0</v>
      </c>
      <c r="I1291" s="72"/>
    </row>
    <row r="1292" spans="1:9">
      <c r="A1292" s="68" t="s">
        <v>49</v>
      </c>
      <c r="B1292" s="69">
        <v>1999</v>
      </c>
      <c r="C1292" s="70">
        <v>439607030</v>
      </c>
      <c r="D1292" s="70">
        <v>358157424</v>
      </c>
      <c r="E1292" s="70">
        <v>632570244</v>
      </c>
      <c r="F1292" s="70">
        <v>24780900</v>
      </c>
      <c r="G1292" s="71">
        <f t="shared" si="59"/>
        <v>1455115598</v>
      </c>
      <c r="H1292" s="60">
        <v>0</v>
      </c>
      <c r="I1292" s="72"/>
    </row>
    <row r="1293" spans="1:9">
      <c r="A1293" s="68" t="s">
        <v>49</v>
      </c>
      <c r="B1293" s="69">
        <v>2000</v>
      </c>
      <c r="C1293" s="70">
        <v>421738324</v>
      </c>
      <c r="D1293" s="70">
        <v>465418152</v>
      </c>
      <c r="E1293" s="70">
        <v>769156991</v>
      </c>
      <c r="F1293" s="70">
        <v>48703323</v>
      </c>
      <c r="G1293" s="71">
        <f t="shared" si="59"/>
        <v>1705016790</v>
      </c>
      <c r="H1293" s="60">
        <v>0</v>
      </c>
      <c r="I1293" s="72"/>
    </row>
    <row r="1294" spans="1:9">
      <c r="A1294" s="68" t="s">
        <v>49</v>
      </c>
      <c r="B1294" s="69">
        <v>2001</v>
      </c>
      <c r="C1294" s="70">
        <v>443160277</v>
      </c>
      <c r="D1294" s="70">
        <v>551473481</v>
      </c>
      <c r="E1294" s="70">
        <v>715831125</v>
      </c>
      <c r="F1294" s="70">
        <v>37221022</v>
      </c>
      <c r="G1294" s="71">
        <f t="shared" si="59"/>
        <v>1747685905</v>
      </c>
      <c r="H1294" s="60">
        <v>0</v>
      </c>
      <c r="I1294" s="72"/>
    </row>
    <row r="1295" spans="1:9">
      <c r="A1295" s="68" t="s">
        <v>49</v>
      </c>
      <c r="B1295" s="69">
        <v>2002</v>
      </c>
      <c r="C1295" s="70">
        <v>457602656</v>
      </c>
      <c r="D1295" s="70">
        <v>736784338</v>
      </c>
      <c r="E1295" s="70">
        <v>747998515</v>
      </c>
      <c r="F1295" s="70">
        <v>50596014</v>
      </c>
      <c r="G1295" s="71">
        <f t="shared" si="59"/>
        <v>1992981523</v>
      </c>
      <c r="H1295" s="60">
        <v>0</v>
      </c>
      <c r="I1295" s="72"/>
    </row>
    <row r="1296" spans="1:9">
      <c r="A1296" s="68" t="s">
        <v>49</v>
      </c>
      <c r="B1296" s="69">
        <v>2003</v>
      </c>
      <c r="C1296" s="73">
        <v>525934077</v>
      </c>
      <c r="D1296" s="73">
        <v>674311246</v>
      </c>
      <c r="E1296" s="73">
        <v>807594236</v>
      </c>
      <c r="F1296" s="73">
        <v>46897551</v>
      </c>
      <c r="G1296" s="71">
        <f t="shared" si="59"/>
        <v>2054737110</v>
      </c>
      <c r="H1296" s="60">
        <v>0</v>
      </c>
      <c r="I1296" s="72"/>
    </row>
    <row r="1297" spans="1:9">
      <c r="A1297" s="68" t="s">
        <v>49</v>
      </c>
      <c r="B1297" s="69">
        <v>2004</v>
      </c>
      <c r="C1297" s="73">
        <v>476263138</v>
      </c>
      <c r="D1297" s="73">
        <v>666732372</v>
      </c>
      <c r="E1297" s="73">
        <v>892259815</v>
      </c>
      <c r="F1297" s="73">
        <v>45922666</v>
      </c>
      <c r="G1297" s="71">
        <f t="shared" si="59"/>
        <v>2081177991</v>
      </c>
      <c r="H1297" s="60">
        <v>0</v>
      </c>
      <c r="I1297" s="72"/>
    </row>
    <row r="1298" spans="1:9">
      <c r="A1298" s="68" t="s">
        <v>49</v>
      </c>
      <c r="B1298" s="69">
        <v>2005</v>
      </c>
      <c r="C1298" s="73">
        <v>470023326</v>
      </c>
      <c r="D1298" s="73">
        <v>647375811</v>
      </c>
      <c r="E1298" s="73">
        <v>923470263.58999896</v>
      </c>
      <c r="F1298" s="73">
        <v>21479212</v>
      </c>
      <c r="G1298" s="71">
        <f t="shared" si="59"/>
        <v>2062348612.589999</v>
      </c>
      <c r="H1298" s="60">
        <v>0</v>
      </c>
      <c r="I1298" s="72"/>
    </row>
    <row r="1299" spans="1:9">
      <c r="A1299" s="68" t="s">
        <v>49</v>
      </c>
      <c r="B1299" s="69">
        <v>2006</v>
      </c>
      <c r="C1299" s="74">
        <v>479336054</v>
      </c>
      <c r="D1299" s="74">
        <v>678944503</v>
      </c>
      <c r="E1299" s="74">
        <v>1087344005</v>
      </c>
      <c r="F1299" s="74">
        <v>24705628</v>
      </c>
      <c r="G1299" s="71">
        <f t="shared" si="59"/>
        <v>2270330190</v>
      </c>
      <c r="H1299" s="60">
        <v>0</v>
      </c>
      <c r="I1299" s="72"/>
    </row>
    <row r="1300" spans="1:9">
      <c r="A1300" s="68" t="s">
        <v>49</v>
      </c>
      <c r="B1300" s="69">
        <v>2007</v>
      </c>
      <c r="C1300" s="74">
        <v>520140818</v>
      </c>
      <c r="D1300" s="74">
        <v>701143273</v>
      </c>
      <c r="E1300" s="74">
        <v>1559329552</v>
      </c>
      <c r="F1300" s="74">
        <v>57378516</v>
      </c>
      <c r="G1300" s="71">
        <f t="shared" si="59"/>
        <v>2837992159</v>
      </c>
      <c r="H1300" s="60">
        <v>0</v>
      </c>
      <c r="I1300" s="72"/>
    </row>
    <row r="1301" spans="1:9">
      <c r="A1301" s="68" t="s">
        <v>49</v>
      </c>
      <c r="B1301" s="69">
        <v>2008</v>
      </c>
      <c r="C1301" s="74">
        <v>548503131</v>
      </c>
      <c r="D1301" s="74">
        <v>960924016</v>
      </c>
      <c r="E1301" s="74">
        <v>1846642203</v>
      </c>
      <c r="F1301" s="74">
        <v>19611140</v>
      </c>
      <c r="G1301" s="71">
        <f t="shared" si="59"/>
        <v>3375680490</v>
      </c>
      <c r="H1301" s="60">
        <v>0</v>
      </c>
      <c r="I1301" s="72"/>
    </row>
    <row r="1302" spans="1:9">
      <c r="A1302" s="68" t="s">
        <v>49</v>
      </c>
      <c r="B1302" s="69">
        <v>2009</v>
      </c>
      <c r="C1302" s="74">
        <v>581361665</v>
      </c>
      <c r="D1302" s="74">
        <v>940916116</v>
      </c>
      <c r="E1302" s="74">
        <v>2023840771</v>
      </c>
      <c r="F1302" s="74">
        <v>23047060</v>
      </c>
      <c r="G1302" s="71">
        <f t="shared" si="59"/>
        <v>3569165612</v>
      </c>
      <c r="H1302" s="60">
        <v>0</v>
      </c>
      <c r="I1302" s="72"/>
    </row>
    <row r="1303" spans="1:9">
      <c r="A1303" s="68" t="s">
        <v>49</v>
      </c>
      <c r="B1303" s="69">
        <v>2010</v>
      </c>
      <c r="C1303" s="74">
        <v>606575632</v>
      </c>
      <c r="D1303" s="74">
        <v>792995584</v>
      </c>
      <c r="E1303" s="74">
        <v>1602643704</v>
      </c>
      <c r="F1303" s="74">
        <v>15715445</v>
      </c>
      <c r="G1303" s="71">
        <f t="shared" si="59"/>
        <v>3017930365</v>
      </c>
      <c r="H1303" s="60">
        <v>0</v>
      </c>
      <c r="I1303" s="72"/>
    </row>
    <row r="1304" spans="1:9">
      <c r="A1304" s="68" t="s">
        <v>49</v>
      </c>
      <c r="B1304" s="69">
        <v>2011</v>
      </c>
      <c r="C1304" s="74">
        <v>628744324</v>
      </c>
      <c r="D1304" s="74">
        <v>824314782</v>
      </c>
      <c r="E1304" s="74">
        <v>1254826753</v>
      </c>
      <c r="F1304" s="74">
        <v>24984765</v>
      </c>
      <c r="G1304" s="71">
        <f t="shared" si="59"/>
        <v>2732870624</v>
      </c>
      <c r="H1304" s="60">
        <v>3632716</v>
      </c>
      <c r="I1304" s="60" t="s">
        <v>402</v>
      </c>
    </row>
    <row r="1305" spans="1:9">
      <c r="A1305" s="68" t="s">
        <v>49</v>
      </c>
      <c r="B1305" s="69">
        <v>2012</v>
      </c>
      <c r="C1305" s="74">
        <v>626118704</v>
      </c>
      <c r="D1305" s="74">
        <v>898080117</v>
      </c>
      <c r="E1305" s="74">
        <v>1393808305</v>
      </c>
      <c r="F1305" s="74">
        <v>33949473</v>
      </c>
      <c r="G1305" s="71">
        <f t="shared" si="59"/>
        <v>2951956599</v>
      </c>
      <c r="H1305" s="60">
        <v>2750453</v>
      </c>
      <c r="I1305" s="60" t="s">
        <v>402</v>
      </c>
    </row>
    <row r="1306" spans="1:9">
      <c r="A1306" s="68"/>
      <c r="C1306" s="70"/>
      <c r="D1306" s="70"/>
      <c r="E1306" s="70"/>
      <c r="F1306" s="70"/>
      <c r="G1306" s="76"/>
      <c r="I1306" s="72"/>
    </row>
    <row r="1307" spans="1:9">
      <c r="A1307" s="68" t="s">
        <v>50</v>
      </c>
      <c r="B1307" s="69">
        <v>1988</v>
      </c>
      <c r="C1307" s="70">
        <v>983454251</v>
      </c>
      <c r="D1307" s="70">
        <v>1187279276</v>
      </c>
      <c r="E1307" s="70">
        <v>1120812622</v>
      </c>
      <c r="F1307" s="70">
        <v>0</v>
      </c>
      <c r="G1307" s="71">
        <f>SUM(C1307:F1307)</f>
        <v>3291546149</v>
      </c>
      <c r="H1307" s="60">
        <v>0</v>
      </c>
      <c r="I1307" s="72"/>
    </row>
    <row r="1308" spans="1:9">
      <c r="A1308" s="68" t="s">
        <v>50</v>
      </c>
      <c r="B1308" s="69">
        <v>1989</v>
      </c>
      <c r="C1308" s="70">
        <v>939877756</v>
      </c>
      <c r="D1308" s="70">
        <v>1340779418</v>
      </c>
      <c r="E1308" s="70">
        <v>1246550050</v>
      </c>
      <c r="F1308" s="70">
        <v>0</v>
      </c>
      <c r="G1308" s="71">
        <f t="shared" ref="G1308:G1331" si="60">SUM(C1308:F1308)</f>
        <v>3527207224</v>
      </c>
      <c r="H1308" s="60">
        <v>0</v>
      </c>
      <c r="I1308" s="72"/>
    </row>
    <row r="1309" spans="1:9">
      <c r="A1309" s="68" t="s">
        <v>50</v>
      </c>
      <c r="B1309" s="69">
        <v>1990</v>
      </c>
      <c r="C1309" s="70">
        <v>982868253</v>
      </c>
      <c r="D1309" s="70">
        <v>1455954371.1600001</v>
      </c>
      <c r="E1309" s="70">
        <v>1381928234</v>
      </c>
      <c r="F1309" s="70">
        <v>0</v>
      </c>
      <c r="G1309" s="71">
        <f t="shared" si="60"/>
        <v>3820750858.1599998</v>
      </c>
      <c r="H1309" s="60">
        <v>0</v>
      </c>
      <c r="I1309" s="72"/>
    </row>
    <row r="1310" spans="1:9">
      <c r="A1310" s="68" t="s">
        <v>50</v>
      </c>
      <c r="B1310" s="69">
        <v>1991</v>
      </c>
      <c r="C1310" s="70">
        <v>1076399245</v>
      </c>
      <c r="D1310" s="70">
        <v>1357274758</v>
      </c>
      <c r="E1310" s="70">
        <v>1469942227</v>
      </c>
      <c r="F1310" s="70">
        <v>0</v>
      </c>
      <c r="G1310" s="71">
        <f t="shared" si="60"/>
        <v>3903616230</v>
      </c>
      <c r="H1310" s="60">
        <v>0</v>
      </c>
      <c r="I1310" s="72"/>
    </row>
    <row r="1311" spans="1:9">
      <c r="A1311" s="68" t="s">
        <v>50</v>
      </c>
      <c r="B1311" s="69">
        <v>1992</v>
      </c>
      <c r="C1311" s="70">
        <v>1135747271</v>
      </c>
      <c r="D1311" s="70">
        <v>1301215746.5599999</v>
      </c>
      <c r="E1311" s="70">
        <v>1571640097</v>
      </c>
      <c r="F1311" s="70">
        <v>0</v>
      </c>
      <c r="G1311" s="71">
        <f t="shared" si="60"/>
        <v>4008603114.5599999</v>
      </c>
      <c r="H1311" s="60">
        <v>0</v>
      </c>
      <c r="I1311" s="72"/>
    </row>
    <row r="1312" spans="1:9">
      <c r="A1312" s="68" t="s">
        <v>50</v>
      </c>
      <c r="B1312" s="69">
        <v>1993</v>
      </c>
      <c r="C1312" s="70">
        <v>1202592049</v>
      </c>
      <c r="D1312" s="70">
        <v>1112059894</v>
      </c>
      <c r="E1312" s="70">
        <v>1686502690</v>
      </c>
      <c r="F1312" s="70">
        <v>0</v>
      </c>
      <c r="G1312" s="71">
        <f t="shared" si="60"/>
        <v>4001154633</v>
      </c>
      <c r="H1312" s="60">
        <v>0</v>
      </c>
      <c r="I1312" s="72"/>
    </row>
    <row r="1313" spans="1:9">
      <c r="A1313" s="68" t="s">
        <v>50</v>
      </c>
      <c r="B1313" s="69">
        <v>1994</v>
      </c>
      <c r="C1313" s="70">
        <v>1268795868</v>
      </c>
      <c r="D1313" s="70">
        <v>1319815450</v>
      </c>
      <c r="E1313" s="70">
        <v>1745011167</v>
      </c>
      <c r="F1313" s="70">
        <v>0</v>
      </c>
      <c r="G1313" s="71">
        <f t="shared" si="60"/>
        <v>4333622485</v>
      </c>
      <c r="H1313" s="60">
        <v>0</v>
      </c>
      <c r="I1313" s="72"/>
    </row>
    <row r="1314" spans="1:9">
      <c r="A1314" s="68" t="s">
        <v>50</v>
      </c>
      <c r="B1314" s="69">
        <v>1995</v>
      </c>
      <c r="C1314" s="70">
        <v>1377155879</v>
      </c>
      <c r="D1314" s="70">
        <v>1530405980</v>
      </c>
      <c r="E1314" s="70">
        <v>1767044880</v>
      </c>
      <c r="F1314" s="70">
        <v>0</v>
      </c>
      <c r="G1314" s="71">
        <f t="shared" si="60"/>
        <v>4674606739</v>
      </c>
      <c r="H1314" s="60">
        <v>0</v>
      </c>
      <c r="I1314" s="72"/>
    </row>
    <row r="1315" spans="1:9">
      <c r="A1315" s="68" t="s">
        <v>50</v>
      </c>
      <c r="B1315" s="69">
        <v>1996</v>
      </c>
      <c r="C1315" s="70">
        <v>1388187363</v>
      </c>
      <c r="D1315" s="70">
        <v>1123817700</v>
      </c>
      <c r="E1315" s="70">
        <v>2117462093</v>
      </c>
      <c r="F1315" s="70">
        <v>0</v>
      </c>
      <c r="G1315" s="71">
        <f t="shared" si="60"/>
        <v>4629467156</v>
      </c>
      <c r="H1315" s="60">
        <v>0</v>
      </c>
      <c r="I1315" s="72"/>
    </row>
    <row r="1316" spans="1:9">
      <c r="A1316" s="68" t="s">
        <v>50</v>
      </c>
      <c r="B1316" s="69">
        <v>1997</v>
      </c>
      <c r="C1316" s="70">
        <v>1330673454</v>
      </c>
      <c r="D1316" s="70">
        <v>1296128142</v>
      </c>
      <c r="E1316" s="70">
        <v>1966606840</v>
      </c>
      <c r="F1316" s="70">
        <v>0</v>
      </c>
      <c r="G1316" s="71">
        <f t="shared" si="60"/>
        <v>4593408436</v>
      </c>
      <c r="H1316" s="60">
        <v>0</v>
      </c>
      <c r="I1316" s="72"/>
    </row>
    <row r="1317" spans="1:9">
      <c r="A1317" s="68" t="s">
        <v>50</v>
      </c>
      <c r="B1317" s="69">
        <v>1998</v>
      </c>
      <c r="C1317" s="70">
        <v>1666545855</v>
      </c>
      <c r="D1317" s="70">
        <v>1359800366</v>
      </c>
      <c r="E1317" s="70">
        <v>2701101642</v>
      </c>
      <c r="F1317" s="70">
        <v>0</v>
      </c>
      <c r="G1317" s="71">
        <f t="shared" si="60"/>
        <v>5727447863</v>
      </c>
      <c r="H1317" s="60">
        <v>0</v>
      </c>
      <c r="I1317" s="72"/>
    </row>
    <row r="1318" spans="1:9">
      <c r="A1318" s="68" t="s">
        <v>50</v>
      </c>
      <c r="B1318" s="69">
        <v>1999</v>
      </c>
      <c r="C1318" s="70">
        <v>1487871383</v>
      </c>
      <c r="D1318" s="70">
        <v>1571644120</v>
      </c>
      <c r="E1318" s="70">
        <v>2914712068</v>
      </c>
      <c r="F1318" s="70">
        <v>0</v>
      </c>
      <c r="G1318" s="71">
        <f t="shared" si="60"/>
        <v>5974227571</v>
      </c>
      <c r="H1318" s="60">
        <v>0</v>
      </c>
      <c r="I1318" s="72"/>
    </row>
    <row r="1319" spans="1:9">
      <c r="A1319" s="68" t="s">
        <v>50</v>
      </c>
      <c r="B1319" s="69">
        <v>2000</v>
      </c>
      <c r="C1319" s="70">
        <v>1430064071</v>
      </c>
      <c r="D1319" s="70">
        <v>1770580874</v>
      </c>
      <c r="E1319" s="70">
        <v>3222048692</v>
      </c>
      <c r="F1319" s="70">
        <v>0</v>
      </c>
      <c r="G1319" s="71">
        <f t="shared" si="60"/>
        <v>6422693637</v>
      </c>
      <c r="H1319" s="60">
        <v>0</v>
      </c>
      <c r="I1319" s="72"/>
    </row>
    <row r="1320" spans="1:9">
      <c r="A1320" s="68" t="s">
        <v>50</v>
      </c>
      <c r="B1320" s="69">
        <v>2001</v>
      </c>
      <c r="C1320" s="70">
        <v>1501528707</v>
      </c>
      <c r="D1320" s="70">
        <v>2279654961</v>
      </c>
      <c r="E1320" s="70">
        <v>3549289750</v>
      </c>
      <c r="F1320" s="70">
        <v>0</v>
      </c>
      <c r="G1320" s="71">
        <f t="shared" si="60"/>
        <v>7330473418</v>
      </c>
      <c r="H1320" s="60">
        <v>0</v>
      </c>
      <c r="I1320" s="72"/>
    </row>
    <row r="1321" spans="1:9">
      <c r="A1321" s="68" t="s">
        <v>50</v>
      </c>
      <c r="B1321" s="69">
        <v>2002</v>
      </c>
      <c r="C1321" s="70">
        <v>1444948195</v>
      </c>
      <c r="D1321" s="70">
        <v>3123055348</v>
      </c>
      <c r="E1321" s="70">
        <v>3713329481</v>
      </c>
      <c r="F1321" s="70">
        <v>0</v>
      </c>
      <c r="G1321" s="71">
        <f t="shared" si="60"/>
        <v>8281333024</v>
      </c>
      <c r="H1321" s="60">
        <v>0</v>
      </c>
      <c r="I1321" s="72"/>
    </row>
    <row r="1322" spans="1:9">
      <c r="A1322" s="68" t="s">
        <v>50</v>
      </c>
      <c r="B1322" s="69">
        <v>2003</v>
      </c>
      <c r="C1322" s="73">
        <v>1655657032</v>
      </c>
      <c r="D1322" s="73">
        <v>2605889350</v>
      </c>
      <c r="E1322" s="73">
        <v>3932606069</v>
      </c>
      <c r="F1322" s="70">
        <v>0</v>
      </c>
      <c r="G1322" s="71">
        <f t="shared" si="60"/>
        <v>8194152451</v>
      </c>
      <c r="H1322" s="60">
        <v>0</v>
      </c>
      <c r="I1322" s="72"/>
    </row>
    <row r="1323" spans="1:9">
      <c r="A1323" s="68" t="s">
        <v>50</v>
      </c>
      <c r="B1323" s="69">
        <v>2004</v>
      </c>
      <c r="C1323" s="73">
        <v>1730265571</v>
      </c>
      <c r="D1323" s="73">
        <v>2325831748</v>
      </c>
      <c r="E1323" s="73">
        <v>4064383321</v>
      </c>
      <c r="F1323" s="70">
        <v>0</v>
      </c>
      <c r="G1323" s="71">
        <f t="shared" si="60"/>
        <v>8120480640</v>
      </c>
      <c r="H1323" s="60">
        <v>0</v>
      </c>
      <c r="I1323" s="72"/>
    </row>
    <row r="1324" spans="1:9">
      <c r="A1324" s="68" t="s">
        <v>50</v>
      </c>
      <c r="B1324" s="69">
        <v>2005</v>
      </c>
      <c r="C1324" s="73">
        <v>1765205723</v>
      </c>
      <c r="D1324" s="73">
        <v>1755752897</v>
      </c>
      <c r="E1324" s="73">
        <v>4591263222.8699903</v>
      </c>
      <c r="F1324" s="70">
        <v>0</v>
      </c>
      <c r="G1324" s="71">
        <f t="shared" si="60"/>
        <v>8112221842.8699903</v>
      </c>
      <c r="H1324" s="60">
        <v>0</v>
      </c>
      <c r="I1324" s="72"/>
    </row>
    <row r="1325" spans="1:9">
      <c r="A1325" s="68" t="s">
        <v>50</v>
      </c>
      <c r="B1325" s="69">
        <v>2006</v>
      </c>
      <c r="C1325" s="74">
        <v>1861350986</v>
      </c>
      <c r="D1325" s="74">
        <v>2269001472</v>
      </c>
      <c r="E1325" s="74">
        <v>4529139294</v>
      </c>
      <c r="F1325" s="74">
        <v>0</v>
      </c>
      <c r="G1325" s="71">
        <f t="shared" si="60"/>
        <v>8659491752</v>
      </c>
      <c r="H1325" s="60">
        <v>0</v>
      </c>
      <c r="I1325" s="72"/>
    </row>
    <row r="1326" spans="1:9">
      <c r="A1326" s="68" t="s">
        <v>50</v>
      </c>
      <c r="B1326" s="69">
        <v>2007</v>
      </c>
      <c r="C1326" s="74">
        <v>1998754287</v>
      </c>
      <c r="D1326" s="74">
        <v>2440261232</v>
      </c>
      <c r="E1326" s="74">
        <v>5259106045</v>
      </c>
      <c r="F1326" s="74">
        <v>0</v>
      </c>
      <c r="G1326" s="71">
        <f t="shared" si="60"/>
        <v>9698121564</v>
      </c>
      <c r="H1326" s="60">
        <v>0</v>
      </c>
      <c r="I1326" s="72"/>
    </row>
    <row r="1327" spans="1:9">
      <c r="A1327" s="68" t="s">
        <v>50</v>
      </c>
      <c r="B1327" s="69">
        <v>2008</v>
      </c>
      <c r="C1327" s="74">
        <v>1979623601</v>
      </c>
      <c r="D1327" s="74">
        <v>3356157996</v>
      </c>
      <c r="E1327" s="74">
        <v>5451118842</v>
      </c>
      <c r="F1327" s="74">
        <v>0</v>
      </c>
      <c r="G1327" s="71">
        <f t="shared" si="60"/>
        <v>10786900439</v>
      </c>
      <c r="H1327" s="60">
        <v>0</v>
      </c>
      <c r="I1327" s="72"/>
    </row>
    <row r="1328" spans="1:9">
      <c r="A1328" s="68" t="s">
        <v>50</v>
      </c>
      <c r="B1328" s="69">
        <v>2009</v>
      </c>
      <c r="C1328" s="74">
        <v>2073784687</v>
      </c>
      <c r="D1328" s="74">
        <v>3182730359</v>
      </c>
      <c r="E1328" s="74">
        <v>5500132259</v>
      </c>
      <c r="F1328" s="74">
        <v>0</v>
      </c>
      <c r="G1328" s="71">
        <f t="shared" si="60"/>
        <v>10756647305</v>
      </c>
      <c r="H1328" s="60">
        <v>0</v>
      </c>
      <c r="I1328" s="72"/>
    </row>
    <row r="1329" spans="1:9">
      <c r="A1329" s="68" t="s">
        <v>50</v>
      </c>
      <c r="B1329" s="69">
        <v>2010</v>
      </c>
      <c r="C1329" s="74">
        <v>2111985056</v>
      </c>
      <c r="D1329" s="74">
        <v>2753671184</v>
      </c>
      <c r="E1329" s="74">
        <v>5049423119</v>
      </c>
      <c r="F1329" s="74">
        <v>0</v>
      </c>
      <c r="G1329" s="71">
        <f t="shared" si="60"/>
        <v>9915079359</v>
      </c>
      <c r="H1329" s="60">
        <v>0</v>
      </c>
      <c r="I1329" s="72"/>
    </row>
    <row r="1330" spans="1:9">
      <c r="A1330" s="68" t="s">
        <v>50</v>
      </c>
      <c r="B1330" s="69">
        <v>2011</v>
      </c>
      <c r="C1330" s="74">
        <v>2210764960</v>
      </c>
      <c r="D1330" s="74">
        <v>2693037933</v>
      </c>
      <c r="E1330" s="74">
        <v>4983060377</v>
      </c>
      <c r="F1330" s="74">
        <v>0</v>
      </c>
      <c r="G1330" s="71">
        <f t="shared" si="60"/>
        <v>9886863270</v>
      </c>
      <c r="H1330" s="60">
        <v>0</v>
      </c>
      <c r="I1330" s="72"/>
    </row>
    <row r="1331" spans="1:9">
      <c r="A1331" s="68" t="s">
        <v>50</v>
      </c>
      <c r="B1331" s="69">
        <v>2012</v>
      </c>
      <c r="C1331" s="74">
        <v>2277685879</v>
      </c>
      <c r="D1331" s="74">
        <v>3080368151</v>
      </c>
      <c r="E1331" s="74">
        <v>4784544073</v>
      </c>
      <c r="F1331" s="74">
        <v>0</v>
      </c>
      <c r="G1331" s="71">
        <f t="shared" si="60"/>
        <v>10142598103</v>
      </c>
      <c r="H1331" s="60">
        <v>0</v>
      </c>
      <c r="I1331" s="72"/>
    </row>
    <row r="1332" spans="1:9">
      <c r="A1332" s="68"/>
      <c r="C1332" s="70"/>
      <c r="D1332" s="70"/>
      <c r="E1332" s="70"/>
      <c r="F1332" s="70"/>
      <c r="G1332" s="76"/>
      <c r="I1332" s="72"/>
    </row>
    <row r="1333" spans="1:9">
      <c r="A1333" s="68" t="s">
        <v>51</v>
      </c>
      <c r="B1333" s="69">
        <v>1988</v>
      </c>
      <c r="C1333" s="70">
        <v>97626321</v>
      </c>
      <c r="D1333" s="70">
        <v>94368976</v>
      </c>
      <c r="E1333" s="70">
        <v>85482029</v>
      </c>
      <c r="F1333" s="70">
        <v>0</v>
      </c>
      <c r="G1333" s="71">
        <f>SUM(C1333:F1333)</f>
        <v>277477326</v>
      </c>
      <c r="H1333" s="60">
        <v>0</v>
      </c>
      <c r="I1333" s="72"/>
    </row>
    <row r="1334" spans="1:9">
      <c r="A1334" s="68" t="s">
        <v>51</v>
      </c>
      <c r="B1334" s="69">
        <v>1989</v>
      </c>
      <c r="C1334" s="70">
        <v>90923902</v>
      </c>
      <c r="D1334" s="70">
        <v>84285866</v>
      </c>
      <c r="E1334" s="70">
        <v>90453608</v>
      </c>
      <c r="F1334" s="70">
        <v>0</v>
      </c>
      <c r="G1334" s="71">
        <f t="shared" ref="G1334:G1357" si="61">SUM(C1334:F1334)</f>
        <v>265663376</v>
      </c>
      <c r="H1334" s="60">
        <v>0</v>
      </c>
      <c r="I1334" s="72"/>
    </row>
    <row r="1335" spans="1:9">
      <c r="A1335" s="68" t="s">
        <v>51</v>
      </c>
      <c r="B1335" s="69">
        <v>1990</v>
      </c>
      <c r="C1335" s="70">
        <v>90058438</v>
      </c>
      <c r="D1335" s="70">
        <v>93698388.680000007</v>
      </c>
      <c r="E1335" s="70">
        <v>97798492</v>
      </c>
      <c r="F1335" s="70">
        <v>0</v>
      </c>
      <c r="G1335" s="71">
        <f t="shared" si="61"/>
        <v>281555318.68000001</v>
      </c>
      <c r="H1335" s="60">
        <v>0</v>
      </c>
      <c r="I1335" s="72"/>
    </row>
    <row r="1336" spans="1:9">
      <c r="A1336" s="68" t="s">
        <v>51</v>
      </c>
      <c r="B1336" s="69">
        <v>1991</v>
      </c>
      <c r="C1336" s="70">
        <v>96951799</v>
      </c>
      <c r="D1336" s="70">
        <v>81766219</v>
      </c>
      <c r="E1336" s="70">
        <v>99883708</v>
      </c>
      <c r="F1336" s="70">
        <v>0</v>
      </c>
      <c r="G1336" s="71">
        <f t="shared" si="61"/>
        <v>278601726</v>
      </c>
      <c r="H1336" s="60">
        <v>0</v>
      </c>
      <c r="I1336" s="72"/>
    </row>
    <row r="1337" spans="1:9">
      <c r="A1337" s="68" t="s">
        <v>51</v>
      </c>
      <c r="B1337" s="69">
        <v>1992</v>
      </c>
      <c r="C1337" s="70">
        <v>105896069</v>
      </c>
      <c r="D1337" s="70">
        <v>82392605.079999998</v>
      </c>
      <c r="E1337" s="70">
        <v>112094162</v>
      </c>
      <c r="F1337" s="70">
        <v>0</v>
      </c>
      <c r="G1337" s="71">
        <f t="shared" si="61"/>
        <v>300382836.07999998</v>
      </c>
      <c r="H1337" s="60">
        <v>0</v>
      </c>
      <c r="I1337" s="72"/>
    </row>
    <row r="1338" spans="1:9">
      <c r="A1338" s="68" t="s">
        <v>51</v>
      </c>
      <c r="B1338" s="69">
        <v>1993</v>
      </c>
      <c r="C1338" s="70">
        <v>110151591</v>
      </c>
      <c r="D1338" s="70">
        <v>66544761</v>
      </c>
      <c r="E1338" s="70">
        <v>123196590</v>
      </c>
      <c r="F1338" s="70">
        <v>0</v>
      </c>
      <c r="G1338" s="71">
        <f t="shared" si="61"/>
        <v>299892942</v>
      </c>
      <c r="H1338" s="60">
        <v>0</v>
      </c>
      <c r="I1338" s="72"/>
    </row>
    <row r="1339" spans="1:9">
      <c r="A1339" s="68" t="s">
        <v>51</v>
      </c>
      <c r="B1339" s="69">
        <v>1994</v>
      </c>
      <c r="C1339" s="70">
        <v>120563305</v>
      </c>
      <c r="D1339" s="70">
        <v>82776199</v>
      </c>
      <c r="E1339" s="70">
        <v>127681818</v>
      </c>
      <c r="F1339" s="70">
        <v>0</v>
      </c>
      <c r="G1339" s="71">
        <f t="shared" si="61"/>
        <v>331021322</v>
      </c>
      <c r="H1339" s="60">
        <v>0</v>
      </c>
      <c r="I1339" s="72"/>
    </row>
    <row r="1340" spans="1:9">
      <c r="A1340" s="68" t="s">
        <v>51</v>
      </c>
      <c r="B1340" s="69">
        <v>1995</v>
      </c>
      <c r="C1340" s="70">
        <v>128258372</v>
      </c>
      <c r="D1340" s="70">
        <v>91755805</v>
      </c>
      <c r="E1340" s="70">
        <v>125844578</v>
      </c>
      <c r="F1340" s="70">
        <v>0</v>
      </c>
      <c r="G1340" s="71">
        <f t="shared" si="61"/>
        <v>345858755</v>
      </c>
      <c r="H1340" s="60">
        <v>0</v>
      </c>
      <c r="I1340" s="72"/>
    </row>
    <row r="1341" spans="1:9">
      <c r="A1341" s="68" t="s">
        <v>51</v>
      </c>
      <c r="B1341" s="69">
        <v>1996</v>
      </c>
      <c r="C1341" s="70">
        <v>144853471</v>
      </c>
      <c r="D1341" s="70">
        <v>64293629</v>
      </c>
      <c r="E1341" s="70">
        <v>139762212</v>
      </c>
      <c r="F1341" s="70">
        <v>0</v>
      </c>
      <c r="G1341" s="71">
        <f t="shared" si="61"/>
        <v>348909312</v>
      </c>
      <c r="H1341" s="60">
        <v>0</v>
      </c>
      <c r="I1341" s="72"/>
    </row>
    <row r="1342" spans="1:9">
      <c r="A1342" s="68" t="s">
        <v>51</v>
      </c>
      <c r="B1342" s="69">
        <v>1997</v>
      </c>
      <c r="C1342" s="70">
        <v>132336804</v>
      </c>
      <c r="D1342" s="70">
        <v>73610903</v>
      </c>
      <c r="E1342" s="70">
        <v>137395545</v>
      </c>
      <c r="F1342" s="70">
        <v>0</v>
      </c>
      <c r="G1342" s="71">
        <f t="shared" si="61"/>
        <v>343343252</v>
      </c>
      <c r="H1342" s="60">
        <v>0</v>
      </c>
      <c r="I1342" s="72"/>
    </row>
    <row r="1343" spans="1:9">
      <c r="A1343" s="68" t="s">
        <v>51</v>
      </c>
      <c r="B1343" s="69">
        <v>1998</v>
      </c>
      <c r="C1343" s="70">
        <v>133370742</v>
      </c>
      <c r="D1343" s="70">
        <v>65128698</v>
      </c>
      <c r="E1343" s="70">
        <v>147217331</v>
      </c>
      <c r="F1343" s="70">
        <v>0</v>
      </c>
      <c r="G1343" s="71">
        <f t="shared" si="61"/>
        <v>345716771</v>
      </c>
      <c r="H1343" s="60">
        <v>0</v>
      </c>
      <c r="I1343" s="72"/>
    </row>
    <row r="1344" spans="1:9">
      <c r="A1344" s="68" t="s">
        <v>51</v>
      </c>
      <c r="B1344" s="69">
        <v>1999</v>
      </c>
      <c r="C1344" s="70">
        <v>132820331</v>
      </c>
      <c r="D1344" s="70">
        <v>84199803</v>
      </c>
      <c r="E1344" s="70">
        <v>164599319</v>
      </c>
      <c r="F1344" s="70">
        <v>0</v>
      </c>
      <c r="G1344" s="71">
        <f t="shared" si="61"/>
        <v>381619453</v>
      </c>
      <c r="H1344" s="60">
        <v>0</v>
      </c>
      <c r="I1344" s="72"/>
    </row>
    <row r="1345" spans="1:9">
      <c r="A1345" s="68" t="s">
        <v>51</v>
      </c>
      <c r="B1345" s="69">
        <v>2000</v>
      </c>
      <c r="C1345" s="70">
        <v>134954407</v>
      </c>
      <c r="D1345" s="70">
        <v>36964454</v>
      </c>
      <c r="E1345" s="70">
        <v>279127327</v>
      </c>
      <c r="F1345" s="70">
        <v>0</v>
      </c>
      <c r="G1345" s="71">
        <f t="shared" si="61"/>
        <v>451046188</v>
      </c>
      <c r="H1345" s="60">
        <v>0</v>
      </c>
      <c r="I1345" s="72"/>
    </row>
    <row r="1346" spans="1:9">
      <c r="A1346" s="68" t="s">
        <v>51</v>
      </c>
      <c r="B1346" s="69">
        <v>2001</v>
      </c>
      <c r="C1346" s="70">
        <v>140089330</v>
      </c>
      <c r="D1346" s="70">
        <v>119654633</v>
      </c>
      <c r="E1346" s="70">
        <v>307424423</v>
      </c>
      <c r="F1346" s="70">
        <v>0</v>
      </c>
      <c r="G1346" s="71">
        <f t="shared" si="61"/>
        <v>567168386</v>
      </c>
      <c r="H1346" s="60">
        <v>0</v>
      </c>
      <c r="I1346" s="72"/>
    </row>
    <row r="1347" spans="1:9">
      <c r="A1347" s="68" t="s">
        <v>51</v>
      </c>
      <c r="B1347" s="69">
        <v>2002</v>
      </c>
      <c r="C1347" s="70">
        <v>161370610</v>
      </c>
      <c r="D1347" s="70">
        <v>177390092</v>
      </c>
      <c r="E1347" s="70">
        <v>328364747</v>
      </c>
      <c r="F1347" s="70">
        <v>0</v>
      </c>
      <c r="G1347" s="71">
        <f t="shared" si="61"/>
        <v>667125449</v>
      </c>
      <c r="H1347" s="60">
        <v>0</v>
      </c>
      <c r="I1347" s="72"/>
    </row>
    <row r="1348" spans="1:9">
      <c r="A1348" s="68" t="s">
        <v>51</v>
      </c>
      <c r="B1348" s="69">
        <v>2003</v>
      </c>
      <c r="C1348" s="73">
        <v>158450513</v>
      </c>
      <c r="D1348" s="73">
        <v>160053167</v>
      </c>
      <c r="E1348" s="73">
        <v>358083018</v>
      </c>
      <c r="F1348" s="70">
        <v>0</v>
      </c>
      <c r="G1348" s="71">
        <f t="shared" si="61"/>
        <v>676586698</v>
      </c>
      <c r="H1348" s="60">
        <v>0</v>
      </c>
      <c r="I1348" s="72"/>
    </row>
    <row r="1349" spans="1:9">
      <c r="A1349" s="68" t="s">
        <v>51</v>
      </c>
      <c r="B1349" s="69">
        <v>2004</v>
      </c>
      <c r="C1349" s="73">
        <v>159012531</v>
      </c>
      <c r="D1349" s="73">
        <v>134792266</v>
      </c>
      <c r="E1349" s="73">
        <v>387015674</v>
      </c>
      <c r="F1349" s="70">
        <v>0</v>
      </c>
      <c r="G1349" s="71">
        <f t="shared" si="61"/>
        <v>680820471</v>
      </c>
      <c r="H1349" s="60">
        <v>0</v>
      </c>
    </row>
    <row r="1350" spans="1:9">
      <c r="A1350" s="68" t="s">
        <v>51</v>
      </c>
      <c r="B1350" s="69">
        <v>2005</v>
      </c>
      <c r="C1350" s="73">
        <v>167391676</v>
      </c>
      <c r="D1350" s="73">
        <v>145690563</v>
      </c>
      <c r="E1350" s="73">
        <v>427144070.98000002</v>
      </c>
      <c r="F1350" s="70">
        <v>0</v>
      </c>
      <c r="G1350" s="71">
        <f t="shared" si="61"/>
        <v>740226309.98000002</v>
      </c>
      <c r="H1350" s="60">
        <v>0</v>
      </c>
    </row>
    <row r="1351" spans="1:9">
      <c r="A1351" s="68" t="s">
        <v>51</v>
      </c>
      <c r="B1351" s="69">
        <v>2006</v>
      </c>
      <c r="C1351" s="74">
        <v>182910524</v>
      </c>
      <c r="D1351" s="74">
        <v>153648989</v>
      </c>
      <c r="E1351" s="74">
        <v>418980204</v>
      </c>
      <c r="F1351" s="74">
        <v>0</v>
      </c>
      <c r="G1351" s="71">
        <f t="shared" si="61"/>
        <v>755539717</v>
      </c>
      <c r="H1351" s="60">
        <v>0</v>
      </c>
    </row>
    <row r="1352" spans="1:9">
      <c r="A1352" s="68" t="s">
        <v>51</v>
      </c>
      <c r="B1352" s="69">
        <v>2007</v>
      </c>
      <c r="C1352" s="74">
        <v>180717209</v>
      </c>
      <c r="D1352" s="74">
        <v>149039649</v>
      </c>
      <c r="E1352" s="74">
        <v>462168616</v>
      </c>
      <c r="F1352" s="74">
        <v>0</v>
      </c>
      <c r="G1352" s="71">
        <f t="shared" si="61"/>
        <v>791925474</v>
      </c>
      <c r="H1352" s="60">
        <v>0</v>
      </c>
    </row>
    <row r="1353" spans="1:9">
      <c r="A1353" s="68" t="s">
        <v>51</v>
      </c>
      <c r="B1353" s="69">
        <v>2008</v>
      </c>
      <c r="C1353" s="74">
        <v>191747893</v>
      </c>
      <c r="D1353" s="74">
        <v>224541275</v>
      </c>
      <c r="E1353" s="74">
        <v>499628794</v>
      </c>
      <c r="F1353" s="74">
        <v>0</v>
      </c>
      <c r="G1353" s="71">
        <f t="shared" si="61"/>
        <v>915917962</v>
      </c>
      <c r="H1353" s="60">
        <v>0</v>
      </c>
    </row>
    <row r="1354" spans="1:9">
      <c r="A1354" s="68" t="s">
        <v>51</v>
      </c>
      <c r="B1354" s="69">
        <v>2009</v>
      </c>
      <c r="C1354" s="74">
        <v>223997448</v>
      </c>
      <c r="D1354" s="74">
        <v>215799870</v>
      </c>
      <c r="E1354" s="74">
        <v>566909036</v>
      </c>
      <c r="F1354" s="74">
        <v>0</v>
      </c>
      <c r="G1354" s="71">
        <f t="shared" si="61"/>
        <v>1006706354</v>
      </c>
      <c r="H1354" s="60">
        <v>0</v>
      </c>
    </row>
    <row r="1355" spans="1:9">
      <c r="A1355" s="68" t="s">
        <v>51</v>
      </c>
      <c r="B1355" s="69">
        <v>2010</v>
      </c>
      <c r="C1355" s="74">
        <v>231475665</v>
      </c>
      <c r="D1355" s="74">
        <v>177900568</v>
      </c>
      <c r="E1355" s="74">
        <v>539615942</v>
      </c>
      <c r="F1355" s="74">
        <v>0</v>
      </c>
      <c r="G1355" s="71">
        <f t="shared" si="61"/>
        <v>948992175</v>
      </c>
      <c r="H1355" s="60">
        <v>0</v>
      </c>
    </row>
    <row r="1356" spans="1:9">
      <c r="A1356" s="68" t="s">
        <v>51</v>
      </c>
      <c r="B1356" s="69">
        <v>2011</v>
      </c>
      <c r="C1356" s="74">
        <v>236765939</v>
      </c>
      <c r="D1356" s="74">
        <v>204037972</v>
      </c>
      <c r="E1356" s="74">
        <v>653704898</v>
      </c>
      <c r="F1356" s="74">
        <v>0</v>
      </c>
      <c r="G1356" s="71">
        <f t="shared" si="61"/>
        <v>1094508809</v>
      </c>
      <c r="H1356" s="60">
        <v>0</v>
      </c>
    </row>
    <row r="1357" spans="1:9">
      <c r="A1357" s="68" t="s">
        <v>51</v>
      </c>
      <c r="B1357" s="69">
        <v>2012</v>
      </c>
      <c r="C1357" s="74">
        <v>263181234</v>
      </c>
      <c r="D1357" s="74">
        <v>217793921</v>
      </c>
      <c r="E1357" s="74">
        <v>581654370</v>
      </c>
      <c r="F1357" s="74">
        <v>0</v>
      </c>
      <c r="G1357" s="71">
        <f t="shared" si="61"/>
        <v>1062629525</v>
      </c>
      <c r="H1357" s="60">
        <v>0</v>
      </c>
    </row>
    <row r="1358" spans="1:9">
      <c r="A1358" s="68"/>
      <c r="C1358" s="70"/>
      <c r="D1358" s="70"/>
      <c r="E1358" s="70"/>
      <c r="F1358" s="70"/>
      <c r="G1358" s="76"/>
    </row>
    <row r="1359" spans="1:9">
      <c r="A1359" s="80" t="s">
        <v>405</v>
      </c>
      <c r="B1359" s="81">
        <v>1988</v>
      </c>
      <c r="C1359" s="70">
        <f t="shared" ref="C1359:H1374" si="62">+C33+C7+C85+C59+C111+C137+C163+C189+C241+C267+C293+C397+C319+C345+C371+C423+C449+C475+C553+C527+C501+C579+C605+C657+C631+C683+C865+C891+C709+C761+C787+C813+C735+C839+C917+C943+C969+C995+C1021+C1047+C1073+C1099+C1125+C1151+C1177+C1229+C1203+C1255+C1307+C1281+C1333+C215</f>
        <v>56388254348</v>
      </c>
      <c r="D1359" s="70">
        <f t="shared" si="62"/>
        <v>47263267591</v>
      </c>
      <c r="E1359" s="70">
        <f t="shared" si="62"/>
        <v>67909694904</v>
      </c>
      <c r="F1359" s="70">
        <f t="shared" si="62"/>
        <v>13003786835</v>
      </c>
      <c r="G1359" s="71">
        <f t="shared" si="62"/>
        <v>184565003678</v>
      </c>
      <c r="H1359" s="60">
        <f t="shared" si="62"/>
        <v>65627302</v>
      </c>
    </row>
    <row r="1360" spans="1:9">
      <c r="A1360" s="80" t="s">
        <v>405</v>
      </c>
      <c r="B1360" s="81">
        <v>1989</v>
      </c>
      <c r="C1360" s="70">
        <f t="shared" si="62"/>
        <v>55236476397</v>
      </c>
      <c r="D1360" s="70">
        <f t="shared" si="62"/>
        <v>51478466586</v>
      </c>
      <c r="E1360" s="70">
        <f t="shared" si="62"/>
        <v>72068971823</v>
      </c>
      <c r="F1360" s="70">
        <f t="shared" si="62"/>
        <v>13398723461</v>
      </c>
      <c r="G1360" s="71">
        <f t="shared" si="62"/>
        <v>192182638267</v>
      </c>
      <c r="H1360" s="60">
        <f t="shared" si="62"/>
        <v>83207030</v>
      </c>
    </row>
    <row r="1361" spans="1:8" s="61" customFormat="1">
      <c r="A1361" s="80" t="s">
        <v>405</v>
      </c>
      <c r="B1361" s="81">
        <v>1990</v>
      </c>
      <c r="C1361" s="70">
        <f t="shared" si="62"/>
        <v>59745978030</v>
      </c>
      <c r="D1361" s="70">
        <f t="shared" si="62"/>
        <v>59210480857.200012</v>
      </c>
      <c r="E1361" s="70">
        <f t="shared" si="62"/>
        <v>76031191445</v>
      </c>
      <c r="F1361" s="70">
        <f t="shared" si="62"/>
        <v>13185715755</v>
      </c>
      <c r="G1361" s="71">
        <f t="shared" si="62"/>
        <v>208173366087.20001</v>
      </c>
      <c r="H1361" s="60">
        <f t="shared" si="62"/>
        <v>86486025</v>
      </c>
    </row>
    <row r="1362" spans="1:8" s="61" customFormat="1">
      <c r="A1362" s="80" t="s">
        <v>405</v>
      </c>
      <c r="B1362" s="81">
        <v>1991</v>
      </c>
      <c r="C1362" s="70">
        <f t="shared" si="62"/>
        <v>63124415917</v>
      </c>
      <c r="D1362" s="70">
        <f t="shared" si="62"/>
        <v>54110160997</v>
      </c>
      <c r="E1362" s="70">
        <f t="shared" si="62"/>
        <v>77211223791</v>
      </c>
      <c r="F1362" s="70">
        <f t="shared" si="62"/>
        <v>15049158581</v>
      </c>
      <c r="G1362" s="71">
        <f t="shared" si="62"/>
        <v>209494959286</v>
      </c>
      <c r="H1362" s="60">
        <f t="shared" si="62"/>
        <v>101244119</v>
      </c>
    </row>
    <row r="1363" spans="1:8" s="61" customFormat="1">
      <c r="A1363" s="80" t="s">
        <v>405</v>
      </c>
      <c r="B1363" s="81">
        <v>1992</v>
      </c>
      <c r="C1363" s="70">
        <f t="shared" si="62"/>
        <v>66782571580</v>
      </c>
      <c r="D1363" s="70">
        <f t="shared" si="62"/>
        <v>56703419958.799988</v>
      </c>
      <c r="E1363" s="70">
        <f t="shared" si="62"/>
        <v>79348307053</v>
      </c>
      <c r="F1363" s="70">
        <f t="shared" si="62"/>
        <v>12888318201</v>
      </c>
      <c r="G1363" s="71">
        <f t="shared" si="62"/>
        <v>215722616792.80002</v>
      </c>
      <c r="H1363" s="60">
        <f t="shared" si="62"/>
        <v>126323239</v>
      </c>
    </row>
    <row r="1364" spans="1:8" s="61" customFormat="1">
      <c r="A1364" s="80" t="s">
        <v>405</v>
      </c>
      <c r="B1364" s="81">
        <v>1993</v>
      </c>
      <c r="C1364" s="70">
        <f t="shared" si="62"/>
        <v>71523564638</v>
      </c>
      <c r="D1364" s="70">
        <f t="shared" si="62"/>
        <v>48902588001</v>
      </c>
      <c r="E1364" s="70">
        <f t="shared" si="62"/>
        <v>82280654795</v>
      </c>
      <c r="F1364" s="70">
        <f t="shared" si="62"/>
        <v>12195899332</v>
      </c>
      <c r="G1364" s="71">
        <f t="shared" si="62"/>
        <v>214902706766</v>
      </c>
      <c r="H1364" s="60">
        <f t="shared" si="62"/>
        <v>116194692</v>
      </c>
    </row>
    <row r="1365" spans="1:8" s="61" customFormat="1">
      <c r="A1365" s="80" t="s">
        <v>405</v>
      </c>
      <c r="B1365" s="81">
        <v>1994</v>
      </c>
      <c r="C1365" s="70">
        <f t="shared" si="62"/>
        <v>76465077072</v>
      </c>
      <c r="D1365" s="70">
        <f t="shared" si="62"/>
        <v>64056662631</v>
      </c>
      <c r="E1365" s="70">
        <f t="shared" si="62"/>
        <v>82657912116</v>
      </c>
      <c r="F1365" s="70">
        <f t="shared" si="62"/>
        <v>11394978331</v>
      </c>
      <c r="G1365" s="71">
        <f t="shared" si="62"/>
        <v>234574630150</v>
      </c>
      <c r="H1365" s="60">
        <f t="shared" si="62"/>
        <v>127716287</v>
      </c>
    </row>
    <row r="1366" spans="1:8" s="61" customFormat="1">
      <c r="A1366" s="80" t="s">
        <v>405</v>
      </c>
      <c r="B1366" s="81">
        <v>1995</v>
      </c>
      <c r="C1366" s="70">
        <f t="shared" si="62"/>
        <v>81386026586</v>
      </c>
      <c r="D1366" s="70">
        <f t="shared" si="62"/>
        <v>65051449590</v>
      </c>
      <c r="E1366" s="70">
        <f t="shared" si="62"/>
        <v>88302485204</v>
      </c>
      <c r="F1366" s="70">
        <f t="shared" si="62"/>
        <v>10670395993</v>
      </c>
      <c r="G1366" s="71">
        <f t="shared" si="62"/>
        <v>245410357373</v>
      </c>
      <c r="H1366" s="60">
        <f t="shared" si="62"/>
        <v>147261114</v>
      </c>
    </row>
    <row r="1367" spans="1:8" s="61" customFormat="1">
      <c r="A1367" s="80" t="s">
        <v>405</v>
      </c>
      <c r="B1367" s="81">
        <v>1996</v>
      </c>
      <c r="C1367" s="70">
        <f t="shared" si="62"/>
        <v>80118134719</v>
      </c>
      <c r="D1367" s="70">
        <f t="shared" si="62"/>
        <v>56008408418</v>
      </c>
      <c r="E1367" s="70">
        <f t="shared" si="62"/>
        <v>93955094633</v>
      </c>
      <c r="F1367" s="70">
        <f t="shared" si="62"/>
        <v>8691527510</v>
      </c>
      <c r="G1367" s="71">
        <f t="shared" si="62"/>
        <v>238773165280</v>
      </c>
      <c r="H1367" s="60">
        <f t="shared" si="62"/>
        <v>115973403</v>
      </c>
    </row>
    <row r="1368" spans="1:8" s="61" customFormat="1">
      <c r="A1368" s="80" t="s">
        <v>405</v>
      </c>
      <c r="B1368" s="81">
        <v>1997</v>
      </c>
      <c r="C1368" s="70">
        <f t="shared" si="62"/>
        <v>81291968089</v>
      </c>
      <c r="D1368" s="70">
        <f t="shared" si="62"/>
        <v>60690697981</v>
      </c>
      <c r="E1368" s="70">
        <f t="shared" si="62"/>
        <v>95865833782</v>
      </c>
      <c r="F1368" s="70">
        <f t="shared" si="62"/>
        <v>9343241569</v>
      </c>
      <c r="G1368" s="71">
        <f t="shared" si="62"/>
        <v>247191741421</v>
      </c>
      <c r="H1368" s="60">
        <f t="shared" si="62"/>
        <v>131079061</v>
      </c>
    </row>
    <row r="1369" spans="1:8" s="61" customFormat="1">
      <c r="A1369" s="80" t="s">
        <v>405</v>
      </c>
      <c r="B1369" s="81">
        <v>1998</v>
      </c>
      <c r="C1369" s="70">
        <f t="shared" si="62"/>
        <v>84536044451</v>
      </c>
      <c r="D1369" s="70">
        <f t="shared" si="62"/>
        <v>58426760693</v>
      </c>
      <c r="E1369" s="70">
        <f t="shared" si="62"/>
        <v>101781346921</v>
      </c>
      <c r="F1369" s="70">
        <f t="shared" si="62"/>
        <v>7868201364</v>
      </c>
      <c r="G1369" s="71">
        <f t="shared" si="62"/>
        <v>252612353429</v>
      </c>
      <c r="H1369" s="60">
        <f t="shared" si="62"/>
        <v>126213567</v>
      </c>
    </row>
    <row r="1370" spans="1:8" s="61" customFormat="1">
      <c r="A1370" s="80" t="s">
        <v>405</v>
      </c>
      <c r="B1370" s="81">
        <v>1999</v>
      </c>
      <c r="C1370" s="70">
        <f t="shared" si="62"/>
        <v>83270387788</v>
      </c>
      <c r="D1370" s="70">
        <f t="shared" si="62"/>
        <v>78982290908</v>
      </c>
      <c r="E1370" s="70">
        <f t="shared" si="62"/>
        <v>110138309203</v>
      </c>
      <c r="F1370" s="70">
        <f t="shared" si="62"/>
        <v>10556342192</v>
      </c>
      <c r="G1370" s="71">
        <f t="shared" si="62"/>
        <v>282947330091</v>
      </c>
      <c r="H1370" s="60">
        <f t="shared" si="62"/>
        <v>156700755</v>
      </c>
    </row>
    <row r="1371" spans="1:8" s="61" customFormat="1">
      <c r="A1371" s="80" t="s">
        <v>405</v>
      </c>
      <c r="B1371" s="81">
        <v>2000</v>
      </c>
      <c r="C1371" s="70">
        <f t="shared" si="62"/>
        <v>86513095925</v>
      </c>
      <c r="D1371" s="70">
        <f t="shared" si="62"/>
        <v>87438425121</v>
      </c>
      <c r="E1371" s="70">
        <f t="shared" si="62"/>
        <v>119747691202</v>
      </c>
      <c r="F1371" s="70">
        <f t="shared" si="62"/>
        <v>9908443089</v>
      </c>
      <c r="G1371" s="71">
        <f t="shared" si="62"/>
        <v>303607655337</v>
      </c>
      <c r="H1371" s="60">
        <f t="shared" si="62"/>
        <v>183293590</v>
      </c>
    </row>
    <row r="1372" spans="1:8" s="61" customFormat="1">
      <c r="A1372" s="80" t="s">
        <v>405</v>
      </c>
      <c r="B1372" s="81">
        <v>2001</v>
      </c>
      <c r="C1372" s="70">
        <f t="shared" si="62"/>
        <v>86584179826</v>
      </c>
      <c r="D1372" s="70">
        <f t="shared" si="62"/>
        <v>119908161439.33998</v>
      </c>
      <c r="E1372" s="70">
        <f t="shared" si="62"/>
        <v>127080474825</v>
      </c>
      <c r="F1372" s="70">
        <f t="shared" si="62"/>
        <v>8805598828</v>
      </c>
      <c r="G1372" s="71">
        <f t="shared" si="62"/>
        <v>342378414918.34003</v>
      </c>
      <c r="H1372" s="60">
        <f t="shared" si="62"/>
        <v>209532372</v>
      </c>
    </row>
    <row r="1373" spans="1:8" s="61" customFormat="1">
      <c r="A1373" s="80" t="s">
        <v>405</v>
      </c>
      <c r="B1373" s="81">
        <v>2002</v>
      </c>
      <c r="C1373" s="70">
        <f t="shared" si="62"/>
        <v>89188766523</v>
      </c>
      <c r="D1373" s="70">
        <f t="shared" si="62"/>
        <v>159868596257</v>
      </c>
      <c r="E1373" s="70">
        <f t="shared" si="62"/>
        <v>131848549131</v>
      </c>
      <c r="F1373" s="70">
        <f t="shared" si="62"/>
        <v>10010314823</v>
      </c>
      <c r="G1373" s="71">
        <f t="shared" si="62"/>
        <v>390916226734</v>
      </c>
      <c r="H1373" s="60">
        <f t="shared" si="62"/>
        <v>267549817</v>
      </c>
    </row>
    <row r="1374" spans="1:8" s="61" customFormat="1">
      <c r="A1374" s="80" t="s">
        <v>405</v>
      </c>
      <c r="B1374" s="81">
        <v>2003</v>
      </c>
      <c r="C1374" s="70">
        <f t="shared" si="62"/>
        <v>93464790691</v>
      </c>
      <c r="D1374" s="70">
        <f t="shared" si="62"/>
        <v>144016510266</v>
      </c>
      <c r="E1374" s="70">
        <f t="shared" si="62"/>
        <v>141196916058</v>
      </c>
      <c r="F1374" s="70">
        <f t="shared" si="62"/>
        <v>9954299225</v>
      </c>
      <c r="G1374" s="71">
        <f t="shared" ref="G1374:G1383" si="63">SUM(C1374:F1374)</f>
        <v>388632516240</v>
      </c>
      <c r="H1374" s="60">
        <f t="shared" si="62"/>
        <v>353051201</v>
      </c>
    </row>
    <row r="1375" spans="1:8" s="61" customFormat="1">
      <c r="A1375" s="80" t="s">
        <v>405</v>
      </c>
      <c r="B1375" s="81">
        <v>2004</v>
      </c>
      <c r="C1375" s="70">
        <f t="shared" ref="C1375:F1383" si="64">+C49+C23+C101+C75+C127+C153+C179+C205+C257+C283+C309+C413+C335+C361+C387+C439+C465+C491+C569+C543+C517+C595+C621+C673+C647+C699+C881+C907+C725+C777+C803+C829+C751+C855+C933+C959+C985+C1011+C1037+C1063+C1089+C1115+C1141+C1167+C1193+C1245+C1219+C1271+C1323+C1297+C1349+C231</f>
        <v>97758552855</v>
      </c>
      <c r="D1375" s="70">
        <f t="shared" si="64"/>
        <v>128661045820</v>
      </c>
      <c r="E1375" s="70">
        <f t="shared" si="64"/>
        <v>151688095291</v>
      </c>
      <c r="F1375" s="70">
        <f t="shared" si="64"/>
        <v>10309438230</v>
      </c>
      <c r="G1375" s="71">
        <f t="shared" si="63"/>
        <v>388417132196</v>
      </c>
      <c r="H1375" s="60">
        <f t="shared" ref="H1375:H1383" si="65">+H49+H23+H101+H75+H127+H153+H179+H205+H257+H283+H309+H413+H335+H361+H387+H439+H465+H491+H569+H543+H517+H595+H621+H673+H647+H699+H881+H907+H725+H777+H803+H829+H751+H855+H933+H959+H985+H1011+H1037+H1063+H1089+H1115+H1141+H1167+H1193+H1245+H1219+H1271+H1323+H1297+H1349+H231</f>
        <v>1194675812</v>
      </c>
    </row>
    <row r="1376" spans="1:8" s="61" customFormat="1">
      <c r="A1376" s="80" t="s">
        <v>405</v>
      </c>
      <c r="B1376" s="81">
        <v>2005</v>
      </c>
      <c r="C1376" s="70">
        <f t="shared" si="64"/>
        <v>99468894303</v>
      </c>
      <c r="D1376" s="70">
        <f t="shared" si="64"/>
        <v>115824241087</v>
      </c>
      <c r="E1376" s="70">
        <f t="shared" si="64"/>
        <v>169255920539.65988</v>
      </c>
      <c r="F1376" s="70">
        <f t="shared" si="64"/>
        <v>14193384899</v>
      </c>
      <c r="G1376" s="71">
        <f t="shared" si="63"/>
        <v>398742440828.65991</v>
      </c>
      <c r="H1376" s="60">
        <f t="shared" si="65"/>
        <v>462776297</v>
      </c>
    </row>
    <row r="1377" spans="1:8" s="61" customFormat="1">
      <c r="A1377" s="80" t="s">
        <v>405</v>
      </c>
      <c r="B1377" s="81">
        <v>2006</v>
      </c>
      <c r="C1377" s="70">
        <f t="shared" si="64"/>
        <v>106816940970</v>
      </c>
      <c r="D1377" s="70">
        <f t="shared" si="64"/>
        <v>131414424724</v>
      </c>
      <c r="E1377" s="70">
        <f t="shared" si="64"/>
        <v>186537784151</v>
      </c>
      <c r="F1377" s="70">
        <f t="shared" si="64"/>
        <v>11172807693</v>
      </c>
      <c r="G1377" s="71">
        <f t="shared" si="63"/>
        <v>435941957538</v>
      </c>
      <c r="H1377" s="60">
        <f t="shared" si="65"/>
        <v>751654115</v>
      </c>
    </row>
    <row r="1378" spans="1:8" s="61" customFormat="1">
      <c r="A1378" s="80" t="s">
        <v>405</v>
      </c>
      <c r="B1378" s="81">
        <v>2007</v>
      </c>
      <c r="C1378" s="70">
        <f t="shared" si="64"/>
        <v>111078083735</v>
      </c>
      <c r="D1378" s="70">
        <f t="shared" si="64"/>
        <v>131995573268</v>
      </c>
      <c r="E1378" s="70">
        <f t="shared" si="64"/>
        <v>222446629264</v>
      </c>
      <c r="F1378" s="70">
        <f t="shared" si="64"/>
        <v>10868095455</v>
      </c>
      <c r="G1378" s="71">
        <f t="shared" si="63"/>
        <v>476388381722</v>
      </c>
      <c r="H1378" s="60">
        <f t="shared" si="65"/>
        <v>763710560</v>
      </c>
    </row>
    <row r="1379" spans="1:8" s="61" customFormat="1">
      <c r="A1379" s="80" t="s">
        <v>405</v>
      </c>
      <c r="B1379" s="81">
        <v>2008</v>
      </c>
      <c r="C1379" s="70">
        <f t="shared" si="64"/>
        <v>113872016914</v>
      </c>
      <c r="D1379" s="70">
        <f t="shared" si="64"/>
        <v>177517861674</v>
      </c>
      <c r="E1379" s="70">
        <f t="shared" si="64"/>
        <v>239512104752</v>
      </c>
      <c r="F1379" s="70">
        <f t="shared" si="64"/>
        <v>12900051392</v>
      </c>
      <c r="G1379" s="71">
        <f t="shared" si="63"/>
        <v>543802034732</v>
      </c>
      <c r="H1379" s="60">
        <f t="shared" si="65"/>
        <v>916292536</v>
      </c>
    </row>
    <row r="1380" spans="1:8" s="61" customFormat="1">
      <c r="A1380" s="80" t="s">
        <v>405</v>
      </c>
      <c r="B1380" s="81">
        <v>2009</v>
      </c>
      <c r="C1380" s="70">
        <f t="shared" si="64"/>
        <v>119443043510</v>
      </c>
      <c r="D1380" s="70">
        <f t="shared" si="64"/>
        <v>170434394828</v>
      </c>
      <c r="E1380" s="70">
        <f t="shared" si="64"/>
        <v>248889171755</v>
      </c>
      <c r="F1380" s="70">
        <f t="shared" si="64"/>
        <v>9620869867</v>
      </c>
      <c r="G1380" s="71">
        <f t="shared" si="63"/>
        <v>548387479960</v>
      </c>
      <c r="H1380" s="60">
        <f t="shared" si="65"/>
        <v>657497112</v>
      </c>
    </row>
    <row r="1381" spans="1:8" s="61" customFormat="1">
      <c r="A1381" s="80" t="s">
        <v>405</v>
      </c>
      <c r="B1381" s="81">
        <v>2010</v>
      </c>
      <c r="C1381" s="70">
        <f t="shared" si="64"/>
        <v>124505221626</v>
      </c>
      <c r="D1381" s="70">
        <f t="shared" si="64"/>
        <v>146713068062</v>
      </c>
      <c r="E1381" s="70">
        <f t="shared" si="64"/>
        <v>251663371951</v>
      </c>
      <c r="F1381" s="70">
        <f t="shared" si="64"/>
        <v>9047202581</v>
      </c>
      <c r="G1381" s="71">
        <f t="shared" si="63"/>
        <v>531928864220</v>
      </c>
      <c r="H1381" s="60">
        <f t="shared" si="65"/>
        <v>861262702</v>
      </c>
    </row>
    <row r="1382" spans="1:8" s="61" customFormat="1">
      <c r="A1382" s="80" t="s">
        <v>405</v>
      </c>
      <c r="B1382" s="81">
        <v>2011</v>
      </c>
      <c r="C1382" s="70">
        <f t="shared" si="64"/>
        <v>128174003946</v>
      </c>
      <c r="D1382" s="70">
        <f t="shared" si="64"/>
        <v>142768540371</v>
      </c>
      <c r="E1382" s="70">
        <f t="shared" si="64"/>
        <v>256532569783.26996</v>
      </c>
      <c r="F1382" s="70">
        <f t="shared" si="64"/>
        <v>9378004926</v>
      </c>
      <c r="G1382" s="71">
        <f t="shared" si="63"/>
        <v>536853119026.26996</v>
      </c>
      <c r="H1382" s="60">
        <f t="shared" si="65"/>
        <v>779149102</v>
      </c>
    </row>
    <row r="1383" spans="1:8" s="61" customFormat="1">
      <c r="A1383" s="80" t="s">
        <v>405</v>
      </c>
      <c r="B1383" s="81">
        <v>2012</v>
      </c>
      <c r="C1383" s="70">
        <f t="shared" si="64"/>
        <v>134388725185</v>
      </c>
      <c r="D1383" s="70">
        <f t="shared" si="64"/>
        <v>173878995358</v>
      </c>
      <c r="E1383" s="70">
        <f t="shared" si="64"/>
        <v>253809469842</v>
      </c>
      <c r="F1383" s="70">
        <f t="shared" si="64"/>
        <v>15570096531</v>
      </c>
      <c r="G1383" s="71">
        <f t="shared" si="63"/>
        <v>577647286916</v>
      </c>
      <c r="H1383" s="60">
        <f t="shared" si="65"/>
        <v>734318146</v>
      </c>
    </row>
    <row r="1384" spans="1:8" s="61" customFormat="1">
      <c r="B1384" s="69"/>
      <c r="C1384" s="60"/>
      <c r="D1384" s="60"/>
      <c r="E1384" s="60"/>
      <c r="F1384" s="60"/>
      <c r="G1384" s="67"/>
      <c r="H1384" s="60"/>
    </row>
    <row r="1385" spans="1:8" s="61" customFormat="1">
      <c r="B1385" s="82" t="s">
        <v>387</v>
      </c>
      <c r="C1385" s="83">
        <f>SUM(C1359:C1384)</f>
        <v>2251125215624</v>
      </c>
      <c r="D1385" s="83">
        <f t="shared" ref="D1385:H1385" si="66">SUM(D1359:D1384)</f>
        <v>2531324492487.3398</v>
      </c>
      <c r="E1385" s="83">
        <f t="shared" si="66"/>
        <v>3527759774214.9302</v>
      </c>
      <c r="F1385" s="83">
        <f t="shared" si="66"/>
        <v>279984896663</v>
      </c>
      <c r="G1385" s="83">
        <f t="shared" si="66"/>
        <v>8590194378989.2695</v>
      </c>
      <c r="H1385" s="83">
        <f t="shared" si="66"/>
        <v>9518789956</v>
      </c>
    </row>
    <row r="1386" spans="1:8" s="61" customFormat="1">
      <c r="B1386" s="81"/>
      <c r="C1386" s="63"/>
      <c r="D1386" s="63"/>
      <c r="E1386" s="63"/>
      <c r="F1386" s="63"/>
      <c r="G1386" s="63"/>
      <c r="H1386" s="63"/>
    </row>
  </sheetData>
  <mergeCells count="2">
    <mergeCell ref="A1:H1"/>
    <mergeCell ref="A2:H2"/>
  </mergeCells>
  <pageMargins left="0.25" right="0.25" top="0.5" bottom="0.5" header="0.25" footer="0.25"/>
  <pageSetup scale="60" orientation="portrait" r:id="rId1"/>
  <headerFooter>
    <oddHeader>&amp;L&amp;D&amp;T&amp;Z&amp;F&amp;R© NOLHGA</oddHeader>
    <oddFooter>&amp;CPremiums are derived from the Assessment Data Survey as filed by member cos.  Since GAs may correct the data for errors, totals may differ from those used by the GAs.  It MAY NOT be utilized in protesting actual GA assessments.</oddFooter>
  </headerFooter>
  <rowBreaks count="1" manualBreakCount="1">
    <brk id="942"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75" zoomScaleNormal="75" workbookViewId="0">
      <selection activeCell="C43" sqref="C43"/>
    </sheetView>
  </sheetViews>
  <sheetFormatPr defaultRowHeight="15"/>
  <cols>
    <col min="1" max="1" width="15.7109375" customWidth="1"/>
    <col min="2" max="6" width="14.7109375" customWidth="1"/>
    <col min="7" max="7" width="1.7109375" customWidth="1"/>
    <col min="8" max="8" width="26.7109375" customWidth="1"/>
    <col min="9" max="9" width="15.7109375" customWidth="1"/>
    <col min="10" max="10" width="1.7109375" customWidth="1"/>
    <col min="11" max="12" width="13.7109375" customWidth="1"/>
    <col min="13" max="13" width="1.7109375" customWidth="1"/>
    <col min="14" max="15" width="13.7109375" customWidth="1"/>
    <col min="16" max="16" width="1.7109375" customWidth="1"/>
    <col min="17" max="18" width="13.7109375" customWidth="1"/>
    <col min="19" max="19" width="1.7109375" customWidth="1"/>
    <col min="20" max="21" width="13.7109375" customWidth="1"/>
  </cols>
  <sheetData>
    <row r="1" spans="1:21">
      <c r="A1" s="138" t="s">
        <v>148</v>
      </c>
      <c r="B1" s="139"/>
      <c r="C1" s="139"/>
      <c r="D1" s="139"/>
      <c r="E1" s="139"/>
      <c r="F1" s="139"/>
    </row>
    <row r="2" spans="1:21" ht="15.75" thickBot="1"/>
    <row r="3" spans="1:21">
      <c r="B3" s="140" t="s">
        <v>54</v>
      </c>
      <c r="C3" s="141"/>
      <c r="D3" s="141"/>
      <c r="E3" s="141"/>
      <c r="F3" s="142"/>
      <c r="K3" s="140" t="s">
        <v>62</v>
      </c>
      <c r="L3" s="141"/>
      <c r="M3" s="141"/>
      <c r="N3" s="141"/>
      <c r="O3" s="141"/>
      <c r="P3" s="141"/>
      <c r="Q3" s="141"/>
      <c r="R3" s="141"/>
      <c r="S3" s="141"/>
      <c r="T3" s="141"/>
      <c r="U3" s="142"/>
    </row>
    <row r="4" spans="1:21">
      <c r="B4" s="8"/>
      <c r="C4" s="5"/>
      <c r="D4" s="5"/>
      <c r="E4" s="5"/>
      <c r="F4" s="15"/>
      <c r="K4" s="143" t="s">
        <v>55</v>
      </c>
      <c r="L4" s="144"/>
      <c r="M4" s="5"/>
      <c r="N4" s="145" t="s">
        <v>56</v>
      </c>
      <c r="O4" s="144"/>
      <c r="P4" s="5"/>
      <c r="Q4" s="145" t="s">
        <v>57</v>
      </c>
      <c r="R4" s="144"/>
      <c r="S4" s="5"/>
      <c r="T4" s="145" t="s">
        <v>58</v>
      </c>
      <c r="U4" s="146"/>
    </row>
    <row r="5" spans="1:21" ht="57" customHeight="1">
      <c r="B5" s="9" t="s">
        <v>55</v>
      </c>
      <c r="C5" s="6" t="s">
        <v>56</v>
      </c>
      <c r="D5" s="6" t="s">
        <v>57</v>
      </c>
      <c r="E5" s="6" t="s">
        <v>58</v>
      </c>
      <c r="F5" s="16" t="s">
        <v>59</v>
      </c>
      <c r="K5" s="20" t="s">
        <v>60</v>
      </c>
      <c r="L5" s="19" t="s">
        <v>61</v>
      </c>
      <c r="M5" s="19"/>
      <c r="N5" s="19" t="s">
        <v>60</v>
      </c>
      <c r="O5" s="19" t="s">
        <v>61</v>
      </c>
      <c r="P5" s="19"/>
      <c r="Q5" s="19" t="s">
        <v>60</v>
      </c>
      <c r="R5" s="19" t="s">
        <v>61</v>
      </c>
      <c r="S5" s="19"/>
      <c r="T5" s="19" t="s">
        <v>60</v>
      </c>
      <c r="U5" s="21" t="s">
        <v>61</v>
      </c>
    </row>
    <row r="6" spans="1:21">
      <c r="A6" t="s">
        <v>0</v>
      </c>
      <c r="B6" s="10">
        <v>0</v>
      </c>
      <c r="C6" s="7">
        <v>0</v>
      </c>
      <c r="D6" s="7">
        <v>0</v>
      </c>
      <c r="E6" s="7">
        <v>0</v>
      </c>
      <c r="F6" s="17">
        <f t="shared" ref="F6:F37" si="0">SUM(B6:E6)</f>
        <v>0</v>
      </c>
      <c r="K6" s="10"/>
      <c r="L6" s="7"/>
      <c r="M6" s="7"/>
      <c r="N6" s="7"/>
      <c r="O6" s="7"/>
      <c r="P6" s="7"/>
      <c r="Q6" s="7"/>
      <c r="R6" s="7"/>
      <c r="S6" s="7"/>
      <c r="T6" s="7"/>
      <c r="U6" s="17"/>
    </row>
    <row r="7" spans="1:21">
      <c r="A7" t="s">
        <v>1</v>
      </c>
      <c r="B7" s="10">
        <v>0</v>
      </c>
      <c r="C7" s="7">
        <v>0</v>
      </c>
      <c r="D7" s="7">
        <v>-783.26542201382836</v>
      </c>
      <c r="E7" s="7">
        <v>0</v>
      </c>
      <c r="F7" s="17">
        <f t="shared" si="0"/>
        <v>-783.26542201382836</v>
      </c>
      <c r="H7" s="22"/>
      <c r="I7" s="24"/>
      <c r="K7" s="10">
        <v>0</v>
      </c>
      <c r="L7" s="7">
        <v>0</v>
      </c>
      <c r="M7" s="7"/>
      <c r="N7" s="7">
        <v>0</v>
      </c>
      <c r="O7" s="7">
        <v>0</v>
      </c>
      <c r="P7" s="7"/>
      <c r="Q7" s="7">
        <v>25000</v>
      </c>
      <c r="R7" s="7">
        <v>8000</v>
      </c>
      <c r="S7" s="7"/>
      <c r="T7" s="7">
        <v>0</v>
      </c>
      <c r="U7" s="17">
        <v>0</v>
      </c>
    </row>
    <row r="8" spans="1:21">
      <c r="A8" t="s">
        <v>2</v>
      </c>
      <c r="B8" s="10">
        <v>-506.43871770836813</v>
      </c>
      <c r="C8" s="7">
        <v>0</v>
      </c>
      <c r="D8" s="7">
        <v>-152400.37498962041</v>
      </c>
      <c r="E8" s="7">
        <v>0</v>
      </c>
      <c r="F8" s="17">
        <f t="shared" si="0"/>
        <v>-152906.81370732878</v>
      </c>
      <c r="H8" s="4" t="s">
        <v>64</v>
      </c>
      <c r="I8" s="13"/>
      <c r="K8" s="10">
        <v>0</v>
      </c>
      <c r="L8" s="7">
        <v>0</v>
      </c>
      <c r="M8" s="7"/>
      <c r="N8" s="7">
        <v>0</v>
      </c>
      <c r="O8" s="7">
        <v>0</v>
      </c>
      <c r="P8" s="7"/>
      <c r="Q8" s="7">
        <v>0</v>
      </c>
      <c r="R8" s="7">
        <v>0</v>
      </c>
      <c r="S8" s="7"/>
      <c r="T8" s="7">
        <v>0</v>
      </c>
      <c r="U8" s="17">
        <v>0</v>
      </c>
    </row>
    <row r="9" spans="1:21">
      <c r="A9" t="s">
        <v>3</v>
      </c>
      <c r="B9" s="10">
        <v>0</v>
      </c>
      <c r="C9" s="7">
        <v>0</v>
      </c>
      <c r="D9" s="7">
        <v>0</v>
      </c>
      <c r="E9" s="7">
        <v>0</v>
      </c>
      <c r="F9" s="17">
        <f t="shared" si="0"/>
        <v>0</v>
      </c>
      <c r="H9" s="4"/>
      <c r="I9" s="13"/>
      <c r="K9" s="10"/>
      <c r="L9" s="7"/>
      <c r="M9" s="7"/>
      <c r="N9" s="7"/>
      <c r="O9" s="7"/>
      <c r="P9" s="7"/>
      <c r="Q9" s="7"/>
      <c r="R9" s="7"/>
      <c r="S9" s="7"/>
      <c r="T9" s="7"/>
      <c r="U9" s="17"/>
    </row>
    <row r="10" spans="1:21">
      <c r="A10" t="s">
        <v>4</v>
      </c>
      <c r="B10" s="10">
        <v>0</v>
      </c>
      <c r="C10" s="7">
        <v>0</v>
      </c>
      <c r="D10" s="7">
        <v>-49775.016031858744</v>
      </c>
      <c r="E10" s="7">
        <v>0</v>
      </c>
      <c r="F10" s="17">
        <f t="shared" si="0"/>
        <v>-49775.016031858744</v>
      </c>
      <c r="H10" s="4" t="s">
        <v>65</v>
      </c>
      <c r="I10" s="14">
        <v>4821737</v>
      </c>
      <c r="K10" s="10">
        <v>0</v>
      </c>
      <c r="L10" s="7">
        <v>0</v>
      </c>
      <c r="M10" s="7"/>
      <c r="N10" s="7">
        <v>0</v>
      </c>
      <c r="O10" s="7">
        <v>0</v>
      </c>
      <c r="P10" s="7"/>
      <c r="Q10" s="7">
        <v>1200000</v>
      </c>
      <c r="R10" s="7">
        <v>950000</v>
      </c>
      <c r="S10" s="7"/>
      <c r="T10" s="7">
        <v>0</v>
      </c>
      <c r="U10" s="17">
        <v>0</v>
      </c>
    </row>
    <row r="11" spans="1:21">
      <c r="A11" t="s">
        <v>5</v>
      </c>
      <c r="B11" s="10">
        <v>0</v>
      </c>
      <c r="C11" s="7">
        <v>0</v>
      </c>
      <c r="D11" s="7">
        <v>-7634.592150235374</v>
      </c>
      <c r="E11" s="7">
        <v>0</v>
      </c>
      <c r="F11" s="17">
        <f t="shared" si="0"/>
        <v>-7634.592150235374</v>
      </c>
      <c r="H11" s="4"/>
      <c r="I11" s="14"/>
      <c r="K11" s="10">
        <v>0</v>
      </c>
      <c r="L11" s="7">
        <v>0</v>
      </c>
      <c r="M11" s="7"/>
      <c r="N11" s="7">
        <v>0</v>
      </c>
      <c r="O11" s="7">
        <v>0</v>
      </c>
      <c r="P11" s="7"/>
      <c r="Q11" s="7">
        <v>165000</v>
      </c>
      <c r="R11" s="7">
        <v>107622</v>
      </c>
      <c r="S11" s="7"/>
      <c r="T11" s="7">
        <v>0</v>
      </c>
      <c r="U11" s="17">
        <v>0</v>
      </c>
    </row>
    <row r="12" spans="1:21">
      <c r="A12" t="s">
        <v>6</v>
      </c>
      <c r="B12" s="10">
        <v>0</v>
      </c>
      <c r="C12" s="7">
        <v>0</v>
      </c>
      <c r="D12" s="7">
        <v>0</v>
      </c>
      <c r="E12" s="7">
        <v>0</v>
      </c>
      <c r="F12" s="17">
        <f t="shared" si="0"/>
        <v>0</v>
      </c>
      <c r="H12" s="4" t="s">
        <v>66</v>
      </c>
      <c r="I12" s="14"/>
      <c r="K12" s="10"/>
      <c r="L12" s="7"/>
      <c r="M12" s="7"/>
      <c r="N12" s="7"/>
      <c r="O12" s="7"/>
      <c r="P12" s="7"/>
      <c r="Q12" s="7"/>
      <c r="R12" s="7"/>
      <c r="S12" s="7"/>
      <c r="T12" s="7"/>
      <c r="U12" s="17"/>
    </row>
    <row r="13" spans="1:21">
      <c r="A13" t="s">
        <v>7</v>
      </c>
      <c r="B13" s="10">
        <v>0</v>
      </c>
      <c r="C13" s="7">
        <v>0</v>
      </c>
      <c r="D13" s="7">
        <v>0</v>
      </c>
      <c r="E13" s="7">
        <v>0</v>
      </c>
      <c r="F13" s="17">
        <f t="shared" si="0"/>
        <v>0</v>
      </c>
      <c r="H13" s="4" t="s">
        <v>67</v>
      </c>
      <c r="I13" s="14">
        <v>4821737</v>
      </c>
      <c r="K13" s="10"/>
      <c r="L13" s="7"/>
      <c r="M13" s="7"/>
      <c r="N13" s="7"/>
      <c r="O13" s="7"/>
      <c r="P13" s="7"/>
      <c r="Q13" s="7"/>
      <c r="R13" s="7"/>
      <c r="S13" s="7"/>
      <c r="T13" s="7"/>
      <c r="U13" s="17"/>
    </row>
    <row r="14" spans="1:21">
      <c r="A14" t="s">
        <v>8</v>
      </c>
      <c r="B14" s="10">
        <v>0</v>
      </c>
      <c r="C14" s="7">
        <v>0</v>
      </c>
      <c r="D14" s="7">
        <v>0</v>
      </c>
      <c r="E14" s="7">
        <v>0</v>
      </c>
      <c r="F14" s="17">
        <f t="shared" si="0"/>
        <v>0</v>
      </c>
      <c r="H14" s="4" t="s">
        <v>68</v>
      </c>
      <c r="I14" s="14">
        <v>550530</v>
      </c>
      <c r="K14" s="10"/>
      <c r="L14" s="7"/>
      <c r="M14" s="7"/>
      <c r="N14" s="7"/>
      <c r="O14" s="7"/>
      <c r="P14" s="7"/>
      <c r="Q14" s="7"/>
      <c r="R14" s="7"/>
      <c r="S14" s="7"/>
      <c r="T14" s="7"/>
      <c r="U14" s="17"/>
    </row>
    <row r="15" spans="1:21">
      <c r="A15" t="s">
        <v>9</v>
      </c>
      <c r="B15" s="10">
        <v>0</v>
      </c>
      <c r="C15" s="7">
        <v>0</v>
      </c>
      <c r="D15" s="7">
        <v>0</v>
      </c>
      <c r="E15" s="7">
        <v>0</v>
      </c>
      <c r="F15" s="17">
        <f t="shared" si="0"/>
        <v>0</v>
      </c>
      <c r="H15" s="4" t="s">
        <v>69</v>
      </c>
      <c r="I15" s="14">
        <v>270004.87</v>
      </c>
      <c r="K15" s="10"/>
      <c r="L15" s="7"/>
      <c r="M15" s="7"/>
      <c r="N15" s="7"/>
      <c r="O15" s="7"/>
      <c r="P15" s="7"/>
      <c r="Q15" s="7"/>
      <c r="R15" s="7"/>
      <c r="S15" s="7"/>
      <c r="T15" s="7"/>
      <c r="U15" s="17"/>
    </row>
    <row r="16" spans="1:21">
      <c r="A16" t="s">
        <v>10</v>
      </c>
      <c r="B16" s="10">
        <v>0</v>
      </c>
      <c r="C16" s="7">
        <v>0</v>
      </c>
      <c r="D16" s="7">
        <v>0</v>
      </c>
      <c r="E16" s="7">
        <v>0</v>
      </c>
      <c r="F16" s="17">
        <f t="shared" si="0"/>
        <v>0</v>
      </c>
      <c r="H16" s="4" t="s">
        <v>70</v>
      </c>
      <c r="I16" s="14">
        <v>0</v>
      </c>
      <c r="K16" s="10"/>
      <c r="L16" s="7"/>
      <c r="M16" s="7"/>
      <c r="N16" s="7"/>
      <c r="O16" s="7"/>
      <c r="P16" s="7"/>
      <c r="Q16" s="7"/>
      <c r="R16" s="7"/>
      <c r="S16" s="7"/>
      <c r="T16" s="7"/>
      <c r="U16" s="17"/>
    </row>
    <row r="17" spans="1:21">
      <c r="A17" t="s">
        <v>11</v>
      </c>
      <c r="B17" s="10">
        <v>0</v>
      </c>
      <c r="C17" s="7">
        <v>0</v>
      </c>
      <c r="D17" s="7">
        <v>0</v>
      </c>
      <c r="E17" s="7">
        <v>0</v>
      </c>
      <c r="F17" s="17">
        <f t="shared" si="0"/>
        <v>0</v>
      </c>
      <c r="H17" s="4"/>
      <c r="I17" s="14"/>
      <c r="K17" s="10"/>
      <c r="L17" s="7"/>
      <c r="M17" s="7"/>
      <c r="N17" s="7"/>
      <c r="O17" s="7"/>
      <c r="P17" s="7"/>
      <c r="Q17" s="7"/>
      <c r="R17" s="7"/>
      <c r="S17" s="7"/>
      <c r="T17" s="7"/>
      <c r="U17" s="17"/>
    </row>
    <row r="18" spans="1:21">
      <c r="A18" t="s">
        <v>12</v>
      </c>
      <c r="B18" s="10">
        <v>0</v>
      </c>
      <c r="C18" s="7">
        <v>0</v>
      </c>
      <c r="D18" s="7">
        <v>27937.090020777548</v>
      </c>
      <c r="E18" s="7">
        <v>0</v>
      </c>
      <c r="F18" s="17">
        <f t="shared" si="0"/>
        <v>27937.090020777548</v>
      </c>
      <c r="H18" s="4" t="s">
        <v>71</v>
      </c>
      <c r="I18" s="14"/>
      <c r="K18" s="10"/>
      <c r="L18" s="7"/>
      <c r="M18" s="7"/>
      <c r="N18" s="7"/>
      <c r="O18" s="7"/>
      <c r="P18" s="7"/>
      <c r="Q18" s="7"/>
      <c r="R18" s="7"/>
      <c r="S18" s="7"/>
      <c r="T18" s="7"/>
      <c r="U18" s="17"/>
    </row>
    <row r="19" spans="1:21">
      <c r="A19" t="s">
        <v>13</v>
      </c>
      <c r="B19" s="10">
        <v>0</v>
      </c>
      <c r="C19" s="7">
        <v>0</v>
      </c>
      <c r="D19" s="7">
        <v>0</v>
      </c>
      <c r="E19" s="7">
        <v>0</v>
      </c>
      <c r="F19" s="17">
        <f t="shared" si="0"/>
        <v>0</v>
      </c>
      <c r="H19" s="4" t="s">
        <v>72</v>
      </c>
      <c r="I19" s="14">
        <v>0</v>
      </c>
      <c r="K19" s="10"/>
      <c r="L19" s="7"/>
      <c r="M19" s="7"/>
      <c r="N19" s="7"/>
      <c r="O19" s="7"/>
      <c r="P19" s="7"/>
      <c r="Q19" s="7"/>
      <c r="R19" s="7"/>
      <c r="S19" s="7"/>
      <c r="T19" s="7"/>
      <c r="U19" s="17"/>
    </row>
    <row r="20" spans="1:21">
      <c r="A20" t="s">
        <v>14</v>
      </c>
      <c r="B20" s="10">
        <v>0</v>
      </c>
      <c r="C20" s="7">
        <v>0</v>
      </c>
      <c r="D20" s="7">
        <v>-122.30994459320823</v>
      </c>
      <c r="E20" s="7">
        <v>0</v>
      </c>
      <c r="F20" s="17">
        <f t="shared" si="0"/>
        <v>-122.30994459320823</v>
      </c>
      <c r="H20" s="4" t="s">
        <v>73</v>
      </c>
      <c r="I20" s="14">
        <v>4821737</v>
      </c>
      <c r="K20" s="10"/>
      <c r="L20" s="7"/>
      <c r="M20" s="7"/>
      <c r="N20" s="7"/>
      <c r="O20" s="7"/>
      <c r="P20" s="7"/>
      <c r="Q20" s="7"/>
      <c r="R20" s="7"/>
      <c r="S20" s="7"/>
      <c r="T20" s="7"/>
      <c r="U20" s="17"/>
    </row>
    <row r="21" spans="1:21">
      <c r="A21" t="s">
        <v>15</v>
      </c>
      <c r="B21" s="10">
        <v>0</v>
      </c>
      <c r="C21" s="7">
        <v>0</v>
      </c>
      <c r="D21" s="7">
        <v>0</v>
      </c>
      <c r="E21" s="7">
        <v>0</v>
      </c>
      <c r="F21" s="17">
        <f t="shared" si="0"/>
        <v>0</v>
      </c>
      <c r="H21" s="4" t="s">
        <v>74</v>
      </c>
      <c r="I21" s="14"/>
      <c r="K21" s="10"/>
      <c r="L21" s="7"/>
      <c r="M21" s="7"/>
      <c r="N21" s="7"/>
      <c r="O21" s="7"/>
      <c r="P21" s="7"/>
      <c r="Q21" s="7"/>
      <c r="R21" s="7"/>
      <c r="S21" s="7"/>
      <c r="T21" s="7"/>
      <c r="U21" s="17"/>
    </row>
    <row r="22" spans="1:21">
      <c r="A22" t="s">
        <v>16</v>
      </c>
      <c r="B22" s="10">
        <v>0</v>
      </c>
      <c r="C22" s="7">
        <v>0</v>
      </c>
      <c r="D22" s="7">
        <v>0</v>
      </c>
      <c r="E22" s="7">
        <v>0</v>
      </c>
      <c r="F22" s="17">
        <f t="shared" si="0"/>
        <v>0</v>
      </c>
      <c r="H22" s="4" t="s">
        <v>75</v>
      </c>
      <c r="I22" s="14">
        <v>0</v>
      </c>
      <c r="K22" s="10"/>
      <c r="L22" s="7"/>
      <c r="M22" s="7"/>
      <c r="N22" s="7"/>
      <c r="O22" s="7"/>
      <c r="P22" s="7"/>
      <c r="Q22" s="7"/>
      <c r="R22" s="7"/>
      <c r="S22" s="7"/>
      <c r="T22" s="7"/>
      <c r="U22" s="17"/>
    </row>
    <row r="23" spans="1:21">
      <c r="A23" t="s">
        <v>17</v>
      </c>
      <c r="B23" s="10">
        <v>0</v>
      </c>
      <c r="C23" s="7">
        <v>0</v>
      </c>
      <c r="D23" s="7">
        <v>0</v>
      </c>
      <c r="E23" s="7">
        <v>0</v>
      </c>
      <c r="F23" s="17">
        <f t="shared" si="0"/>
        <v>0</v>
      </c>
      <c r="H23" s="4" t="s">
        <v>76</v>
      </c>
      <c r="I23" s="14"/>
      <c r="K23" s="10"/>
      <c r="L23" s="7"/>
      <c r="M23" s="7"/>
      <c r="N23" s="7"/>
      <c r="O23" s="7"/>
      <c r="P23" s="7"/>
      <c r="Q23" s="7"/>
      <c r="R23" s="7"/>
      <c r="S23" s="7"/>
      <c r="T23" s="7"/>
      <c r="U23" s="17"/>
    </row>
    <row r="24" spans="1:21">
      <c r="A24" t="s">
        <v>18</v>
      </c>
      <c r="B24" s="10">
        <v>0</v>
      </c>
      <c r="C24" s="7">
        <v>0</v>
      </c>
      <c r="D24" s="7">
        <v>4903</v>
      </c>
      <c r="E24" s="7">
        <v>0</v>
      </c>
      <c r="F24" s="17">
        <f t="shared" si="0"/>
        <v>4903</v>
      </c>
      <c r="H24" s="4" t="s">
        <v>77</v>
      </c>
      <c r="I24" s="14">
        <v>5782884.919999999</v>
      </c>
      <c r="K24" s="10"/>
      <c r="L24" s="7"/>
      <c r="M24" s="7"/>
      <c r="N24" s="7"/>
      <c r="O24" s="7"/>
      <c r="P24" s="7"/>
      <c r="Q24" s="7"/>
      <c r="R24" s="7"/>
      <c r="S24" s="7"/>
      <c r="T24" s="7"/>
      <c r="U24" s="17"/>
    </row>
    <row r="25" spans="1:21">
      <c r="A25" t="s">
        <v>19</v>
      </c>
      <c r="B25" s="10">
        <v>0</v>
      </c>
      <c r="C25" s="7">
        <v>0</v>
      </c>
      <c r="D25" s="7">
        <v>0</v>
      </c>
      <c r="E25" s="7">
        <v>0</v>
      </c>
      <c r="F25" s="17">
        <f t="shared" si="0"/>
        <v>0</v>
      </c>
      <c r="H25" s="4"/>
      <c r="I25" s="14"/>
      <c r="K25" s="10"/>
      <c r="L25" s="7"/>
      <c r="M25" s="7"/>
      <c r="N25" s="7"/>
      <c r="O25" s="7"/>
      <c r="P25" s="7"/>
      <c r="Q25" s="7"/>
      <c r="R25" s="7"/>
      <c r="S25" s="7"/>
      <c r="T25" s="7"/>
      <c r="U25" s="17"/>
    </row>
    <row r="26" spans="1:21">
      <c r="A26" t="s">
        <v>20</v>
      </c>
      <c r="B26" s="10">
        <v>0</v>
      </c>
      <c r="C26" s="7">
        <v>0</v>
      </c>
      <c r="D26" s="7">
        <v>0</v>
      </c>
      <c r="E26" s="7">
        <v>0</v>
      </c>
      <c r="F26" s="17">
        <f t="shared" si="0"/>
        <v>0</v>
      </c>
      <c r="H26" s="4" t="s">
        <v>78</v>
      </c>
      <c r="I26" s="14">
        <f>SUM(I10:I16)-SUM(I19:I24)</f>
        <v>-140613.04999999888</v>
      </c>
      <c r="K26" s="10"/>
      <c r="L26" s="7"/>
      <c r="M26" s="7"/>
      <c r="N26" s="7"/>
      <c r="O26" s="7"/>
      <c r="P26" s="7"/>
      <c r="Q26" s="7"/>
      <c r="R26" s="7"/>
      <c r="S26" s="7"/>
      <c r="T26" s="7"/>
      <c r="U26" s="17"/>
    </row>
    <row r="27" spans="1:21">
      <c r="A27" t="s">
        <v>21</v>
      </c>
      <c r="B27" s="10">
        <v>0</v>
      </c>
      <c r="C27" s="7">
        <v>0</v>
      </c>
      <c r="D27" s="7">
        <v>0</v>
      </c>
      <c r="E27" s="7">
        <v>0</v>
      </c>
      <c r="F27" s="17">
        <f t="shared" si="0"/>
        <v>0</v>
      </c>
      <c r="H27" s="4" t="s">
        <v>79</v>
      </c>
      <c r="I27" s="14">
        <f>+F60</f>
        <v>-140613.04999999944</v>
      </c>
      <c r="K27" s="10"/>
      <c r="L27" s="7"/>
      <c r="M27" s="7"/>
      <c r="N27" s="7"/>
      <c r="O27" s="7"/>
      <c r="P27" s="7"/>
      <c r="Q27" s="7"/>
      <c r="R27" s="7"/>
      <c r="S27" s="7"/>
      <c r="T27" s="7"/>
      <c r="U27" s="17"/>
    </row>
    <row r="28" spans="1:21">
      <c r="A28" t="s">
        <v>22</v>
      </c>
      <c r="B28" s="10">
        <v>0</v>
      </c>
      <c r="C28" s="7">
        <v>0</v>
      </c>
      <c r="D28" s="7">
        <v>0</v>
      </c>
      <c r="E28" s="7">
        <v>0</v>
      </c>
      <c r="F28" s="17">
        <f t="shared" si="0"/>
        <v>0</v>
      </c>
      <c r="H28" s="23"/>
      <c r="I28" s="25"/>
      <c r="K28" s="10"/>
      <c r="L28" s="7"/>
      <c r="M28" s="7"/>
      <c r="N28" s="7"/>
      <c r="O28" s="7"/>
      <c r="P28" s="7"/>
      <c r="Q28" s="7"/>
      <c r="R28" s="7"/>
      <c r="S28" s="7"/>
      <c r="T28" s="7"/>
      <c r="U28" s="17"/>
    </row>
    <row r="29" spans="1:21">
      <c r="A29" t="s">
        <v>23</v>
      </c>
      <c r="B29" s="10">
        <v>0</v>
      </c>
      <c r="C29" s="7">
        <v>0</v>
      </c>
      <c r="D29" s="7">
        <v>0</v>
      </c>
      <c r="E29" s="7">
        <v>0</v>
      </c>
      <c r="F29" s="17">
        <f t="shared" si="0"/>
        <v>0</v>
      </c>
      <c r="K29" s="10"/>
      <c r="L29" s="7"/>
      <c r="M29" s="7"/>
      <c r="N29" s="7"/>
      <c r="O29" s="7"/>
      <c r="P29" s="7"/>
      <c r="Q29" s="7"/>
      <c r="R29" s="7"/>
      <c r="S29" s="7"/>
      <c r="T29" s="7"/>
      <c r="U29" s="17"/>
    </row>
    <row r="30" spans="1:21">
      <c r="A30" t="s">
        <v>24</v>
      </c>
      <c r="B30" s="10">
        <v>0</v>
      </c>
      <c r="C30" s="7">
        <v>0</v>
      </c>
      <c r="D30" s="7">
        <v>0</v>
      </c>
      <c r="E30" s="7">
        <v>0</v>
      </c>
      <c r="F30" s="17">
        <f t="shared" si="0"/>
        <v>0</v>
      </c>
      <c r="K30" s="10"/>
      <c r="L30" s="7"/>
      <c r="M30" s="7"/>
      <c r="N30" s="7"/>
      <c r="O30" s="7"/>
      <c r="P30" s="7"/>
      <c r="Q30" s="7"/>
      <c r="R30" s="7"/>
      <c r="S30" s="7"/>
      <c r="T30" s="7"/>
      <c r="U30" s="17"/>
    </row>
    <row r="31" spans="1:21">
      <c r="A31" t="s">
        <v>25</v>
      </c>
      <c r="B31" s="10">
        <v>0</v>
      </c>
      <c r="C31" s="7">
        <v>0</v>
      </c>
      <c r="D31" s="7">
        <v>6817.8701592945254</v>
      </c>
      <c r="E31" s="7">
        <v>0</v>
      </c>
      <c r="F31" s="17">
        <f t="shared" si="0"/>
        <v>6817.8701592945254</v>
      </c>
      <c r="K31" s="10"/>
      <c r="L31" s="7"/>
      <c r="M31" s="7"/>
      <c r="N31" s="7"/>
      <c r="O31" s="7"/>
      <c r="P31" s="7"/>
      <c r="Q31" s="7"/>
      <c r="R31" s="7"/>
      <c r="S31" s="7"/>
      <c r="T31" s="7"/>
      <c r="U31" s="17"/>
    </row>
    <row r="32" spans="1:21">
      <c r="A32" t="s">
        <v>26</v>
      </c>
      <c r="B32" s="10">
        <v>0</v>
      </c>
      <c r="C32" s="7">
        <v>0</v>
      </c>
      <c r="D32" s="7">
        <v>4295</v>
      </c>
      <c r="E32" s="7">
        <v>0</v>
      </c>
      <c r="F32" s="17">
        <f t="shared" si="0"/>
        <v>4295</v>
      </c>
      <c r="K32" s="10"/>
      <c r="L32" s="7"/>
      <c r="M32" s="7"/>
      <c r="N32" s="7"/>
      <c r="O32" s="7"/>
      <c r="P32" s="7"/>
      <c r="Q32" s="7"/>
      <c r="R32" s="7"/>
      <c r="S32" s="7"/>
      <c r="T32" s="7"/>
      <c r="U32" s="17"/>
    </row>
    <row r="33" spans="1:21">
      <c r="A33" t="s">
        <v>27</v>
      </c>
      <c r="B33" s="10">
        <v>0</v>
      </c>
      <c r="C33" s="7">
        <v>0</v>
      </c>
      <c r="D33" s="7">
        <v>0</v>
      </c>
      <c r="E33" s="7">
        <v>0</v>
      </c>
      <c r="F33" s="17">
        <f t="shared" si="0"/>
        <v>0</v>
      </c>
      <c r="K33" s="10"/>
      <c r="L33" s="7"/>
      <c r="M33" s="7"/>
      <c r="N33" s="7"/>
      <c r="O33" s="7"/>
      <c r="P33" s="7"/>
      <c r="Q33" s="7"/>
      <c r="R33" s="7"/>
      <c r="S33" s="7"/>
      <c r="T33" s="7"/>
      <c r="U33" s="17"/>
    </row>
    <row r="34" spans="1:21">
      <c r="A34" t="s">
        <v>28</v>
      </c>
      <c r="B34" s="10">
        <v>0</v>
      </c>
      <c r="C34" s="7">
        <v>0</v>
      </c>
      <c r="D34" s="7">
        <v>-9283.75955119016</v>
      </c>
      <c r="E34" s="7">
        <v>0</v>
      </c>
      <c r="F34" s="17">
        <f t="shared" si="0"/>
        <v>-9283.75955119016</v>
      </c>
      <c r="K34" s="10">
        <v>0</v>
      </c>
      <c r="L34" s="7">
        <v>0</v>
      </c>
      <c r="M34" s="7"/>
      <c r="N34" s="7">
        <v>0</v>
      </c>
      <c r="O34" s="7">
        <v>0</v>
      </c>
      <c r="P34" s="7"/>
      <c r="Q34" s="7">
        <v>151200</v>
      </c>
      <c r="R34" s="7">
        <v>0</v>
      </c>
      <c r="S34" s="7"/>
      <c r="T34" s="7">
        <v>0</v>
      </c>
      <c r="U34" s="17">
        <v>0</v>
      </c>
    </row>
    <row r="35" spans="1:21">
      <c r="A35" t="s">
        <v>29</v>
      </c>
      <c r="B35" s="10">
        <v>0</v>
      </c>
      <c r="C35" s="7">
        <v>0</v>
      </c>
      <c r="D35" s="7">
        <v>0</v>
      </c>
      <c r="E35" s="7">
        <v>0</v>
      </c>
      <c r="F35" s="17">
        <f t="shared" si="0"/>
        <v>0</v>
      </c>
      <c r="K35" s="10"/>
      <c r="L35" s="7"/>
      <c r="M35" s="7"/>
      <c r="N35" s="7"/>
      <c r="O35" s="7"/>
      <c r="P35" s="7"/>
      <c r="Q35" s="7"/>
      <c r="R35" s="7"/>
      <c r="S35" s="7"/>
      <c r="T35" s="7"/>
      <c r="U35" s="17"/>
    </row>
    <row r="36" spans="1:21">
      <c r="A36" t="s">
        <v>30</v>
      </c>
      <c r="B36" s="10">
        <v>0</v>
      </c>
      <c r="C36" s="7">
        <v>0</v>
      </c>
      <c r="D36" s="7">
        <v>0</v>
      </c>
      <c r="E36" s="7">
        <v>0</v>
      </c>
      <c r="F36" s="17">
        <f t="shared" si="0"/>
        <v>0</v>
      </c>
      <c r="K36" s="10"/>
      <c r="L36" s="7"/>
      <c r="M36" s="7"/>
      <c r="N36" s="7"/>
      <c r="O36" s="7"/>
      <c r="P36" s="7"/>
      <c r="Q36" s="7"/>
      <c r="R36" s="7"/>
      <c r="S36" s="7"/>
      <c r="T36" s="7"/>
      <c r="U36" s="17"/>
    </row>
    <row r="37" spans="1:21">
      <c r="A37" t="s">
        <v>31</v>
      </c>
      <c r="B37" s="10">
        <v>0</v>
      </c>
      <c r="C37" s="7">
        <v>0</v>
      </c>
      <c r="D37" s="7">
        <v>1077.0074591393422</v>
      </c>
      <c r="E37" s="7">
        <v>0</v>
      </c>
      <c r="F37" s="17">
        <f t="shared" si="0"/>
        <v>1077.0074591393422</v>
      </c>
      <c r="K37" s="10"/>
      <c r="L37" s="7"/>
      <c r="M37" s="7"/>
      <c r="N37" s="7"/>
      <c r="O37" s="7"/>
      <c r="P37" s="7"/>
      <c r="Q37" s="7"/>
      <c r="R37" s="7"/>
      <c r="S37" s="7"/>
      <c r="T37" s="7"/>
      <c r="U37" s="17"/>
    </row>
    <row r="38" spans="1:21">
      <c r="A38" t="s">
        <v>32</v>
      </c>
      <c r="B38" s="10">
        <v>0</v>
      </c>
      <c r="C38" s="7">
        <v>0</v>
      </c>
      <c r="D38" s="7">
        <v>0</v>
      </c>
      <c r="E38" s="7">
        <v>0</v>
      </c>
      <c r="F38" s="17">
        <f t="shared" ref="F38:F58" si="1">SUM(B38:E38)</f>
        <v>0</v>
      </c>
      <c r="K38" s="10"/>
      <c r="L38" s="7"/>
      <c r="M38" s="7"/>
      <c r="N38" s="7"/>
      <c r="O38" s="7"/>
      <c r="P38" s="7"/>
      <c r="Q38" s="7"/>
      <c r="R38" s="7"/>
      <c r="S38" s="7"/>
      <c r="T38" s="7"/>
      <c r="U38" s="17"/>
    </row>
    <row r="39" spans="1:21">
      <c r="A39" t="s">
        <v>33</v>
      </c>
      <c r="B39" s="10">
        <v>0</v>
      </c>
      <c r="C39" s="7">
        <v>0</v>
      </c>
      <c r="D39" s="7">
        <v>0</v>
      </c>
      <c r="E39" s="7">
        <v>0</v>
      </c>
      <c r="F39" s="17">
        <f t="shared" si="1"/>
        <v>0</v>
      </c>
      <c r="K39" s="10"/>
      <c r="L39" s="7"/>
      <c r="M39" s="7"/>
      <c r="N39" s="7"/>
      <c r="O39" s="7"/>
      <c r="P39" s="7"/>
      <c r="Q39" s="7"/>
      <c r="R39" s="7"/>
      <c r="S39" s="7"/>
      <c r="T39" s="7"/>
      <c r="U39" s="17"/>
    </row>
    <row r="40" spans="1:21">
      <c r="A40" t="s">
        <v>34</v>
      </c>
      <c r="B40" s="10">
        <v>0</v>
      </c>
      <c r="C40" s="7">
        <v>0</v>
      </c>
      <c r="D40" s="7">
        <v>0</v>
      </c>
      <c r="E40" s="7">
        <v>0</v>
      </c>
      <c r="F40" s="17">
        <f t="shared" si="1"/>
        <v>0</v>
      </c>
      <c r="K40" s="10"/>
      <c r="L40" s="7"/>
      <c r="M40" s="7"/>
      <c r="N40" s="7"/>
      <c r="O40" s="7"/>
      <c r="P40" s="7"/>
      <c r="Q40" s="7"/>
      <c r="R40" s="7"/>
      <c r="S40" s="7"/>
      <c r="T40" s="7"/>
      <c r="U40" s="17"/>
    </row>
    <row r="41" spans="1:21">
      <c r="A41" t="s">
        <v>35</v>
      </c>
      <c r="B41" s="10">
        <v>0</v>
      </c>
      <c r="C41" s="7">
        <v>0</v>
      </c>
      <c r="D41" s="7">
        <v>0</v>
      </c>
      <c r="E41" s="7">
        <v>0</v>
      </c>
      <c r="F41" s="17">
        <f t="shared" si="1"/>
        <v>0</v>
      </c>
      <c r="K41" s="10"/>
      <c r="L41" s="7"/>
      <c r="M41" s="7"/>
      <c r="N41" s="7"/>
      <c r="O41" s="7"/>
      <c r="P41" s="7"/>
      <c r="Q41" s="7"/>
      <c r="R41" s="7"/>
      <c r="S41" s="7"/>
      <c r="T41" s="7"/>
      <c r="U41" s="17"/>
    </row>
    <row r="42" spans="1:21">
      <c r="A42" t="s">
        <v>36</v>
      </c>
      <c r="B42" s="10">
        <v>-205.07681965552183</v>
      </c>
      <c r="C42" s="7">
        <v>0</v>
      </c>
      <c r="D42" s="7">
        <v>-2235.3168265632121</v>
      </c>
      <c r="E42" s="7">
        <v>0</v>
      </c>
      <c r="F42" s="17">
        <f t="shared" si="1"/>
        <v>-2440.3936462187339</v>
      </c>
      <c r="K42" s="10">
        <v>0</v>
      </c>
      <c r="L42" s="7">
        <v>0</v>
      </c>
      <c r="M42" s="7"/>
      <c r="N42" s="7">
        <v>0</v>
      </c>
      <c r="O42" s="7">
        <v>0</v>
      </c>
      <c r="P42" s="7"/>
      <c r="Q42" s="7">
        <v>0</v>
      </c>
      <c r="R42" s="7">
        <v>0</v>
      </c>
      <c r="S42" s="7"/>
      <c r="T42" s="7">
        <v>0</v>
      </c>
      <c r="U42" s="17">
        <v>0</v>
      </c>
    </row>
    <row r="43" spans="1:21">
      <c r="A43" t="s">
        <v>37</v>
      </c>
      <c r="B43" s="10">
        <v>0</v>
      </c>
      <c r="C43" s="7">
        <v>0</v>
      </c>
      <c r="D43" s="7">
        <v>-1266.586474742875</v>
      </c>
      <c r="E43" s="7">
        <v>0</v>
      </c>
      <c r="F43" s="17">
        <f t="shared" si="1"/>
        <v>-1266.586474742875</v>
      </c>
      <c r="K43" s="10"/>
      <c r="L43" s="7"/>
      <c r="M43" s="7"/>
      <c r="N43" s="7"/>
      <c r="O43" s="7"/>
      <c r="P43" s="7"/>
      <c r="Q43" s="7"/>
      <c r="R43" s="7"/>
      <c r="S43" s="7"/>
      <c r="T43" s="7"/>
      <c r="U43" s="17"/>
    </row>
    <row r="44" spans="1:21">
      <c r="A44" t="s">
        <v>38</v>
      </c>
      <c r="B44" s="10">
        <v>0</v>
      </c>
      <c r="C44" s="7">
        <v>0</v>
      </c>
      <c r="D44" s="7">
        <v>0</v>
      </c>
      <c r="E44" s="7">
        <v>0</v>
      </c>
      <c r="F44" s="17">
        <f t="shared" si="1"/>
        <v>0</v>
      </c>
      <c r="K44" s="10"/>
      <c r="L44" s="7"/>
      <c r="M44" s="7"/>
      <c r="N44" s="7"/>
      <c r="O44" s="7"/>
      <c r="P44" s="7"/>
      <c r="Q44" s="7"/>
      <c r="R44" s="7"/>
      <c r="S44" s="7"/>
      <c r="T44" s="7"/>
      <c r="U44" s="17"/>
    </row>
    <row r="45" spans="1:21">
      <c r="A45" t="s">
        <v>39</v>
      </c>
      <c r="B45" s="10">
        <v>0</v>
      </c>
      <c r="C45" s="7">
        <v>0</v>
      </c>
      <c r="D45" s="7">
        <v>0</v>
      </c>
      <c r="E45" s="7">
        <v>0</v>
      </c>
      <c r="F45" s="17">
        <f t="shared" si="1"/>
        <v>0</v>
      </c>
      <c r="K45" s="10"/>
      <c r="L45" s="7"/>
      <c r="M45" s="7"/>
      <c r="N45" s="7"/>
      <c r="O45" s="7"/>
      <c r="P45" s="7"/>
      <c r="Q45" s="7"/>
      <c r="R45" s="7"/>
      <c r="S45" s="7"/>
      <c r="T45" s="7"/>
      <c r="U45" s="17"/>
    </row>
    <row r="46" spans="1:21">
      <c r="A46" t="s">
        <v>40</v>
      </c>
      <c r="B46" s="10">
        <v>0</v>
      </c>
      <c r="C46" s="7">
        <v>0</v>
      </c>
      <c r="D46" s="7">
        <v>0</v>
      </c>
      <c r="E46" s="7">
        <v>0</v>
      </c>
      <c r="F46" s="17">
        <f t="shared" si="1"/>
        <v>0</v>
      </c>
      <c r="K46" s="10"/>
      <c r="L46" s="7"/>
      <c r="M46" s="7"/>
      <c r="N46" s="7"/>
      <c r="O46" s="7"/>
      <c r="P46" s="7"/>
      <c r="Q46" s="7"/>
      <c r="R46" s="7"/>
      <c r="S46" s="7"/>
      <c r="T46" s="7"/>
      <c r="U46" s="17"/>
    </row>
    <row r="47" spans="1:21">
      <c r="A47" t="s">
        <v>41</v>
      </c>
      <c r="B47" s="10">
        <v>0</v>
      </c>
      <c r="C47" s="7">
        <v>0</v>
      </c>
      <c r="D47" s="7">
        <v>0</v>
      </c>
      <c r="E47" s="7">
        <v>0</v>
      </c>
      <c r="F47" s="17">
        <f t="shared" si="1"/>
        <v>0</v>
      </c>
      <c r="K47" s="10"/>
      <c r="L47" s="7"/>
      <c r="M47" s="7"/>
      <c r="N47" s="7"/>
      <c r="O47" s="7"/>
      <c r="P47" s="7"/>
      <c r="Q47" s="7"/>
      <c r="R47" s="7"/>
      <c r="S47" s="7"/>
      <c r="T47" s="7"/>
      <c r="U47" s="17"/>
    </row>
    <row r="48" spans="1:21">
      <c r="A48" t="s">
        <v>42</v>
      </c>
      <c r="B48" s="10">
        <v>0</v>
      </c>
      <c r="C48" s="7">
        <v>0</v>
      </c>
      <c r="D48" s="7">
        <v>0</v>
      </c>
      <c r="E48" s="7">
        <v>0</v>
      </c>
      <c r="F48" s="17">
        <f t="shared" si="1"/>
        <v>0</v>
      </c>
      <c r="K48" s="10"/>
      <c r="L48" s="7"/>
      <c r="M48" s="7"/>
      <c r="N48" s="7"/>
      <c r="O48" s="7"/>
      <c r="P48" s="7"/>
      <c r="Q48" s="7"/>
      <c r="R48" s="7"/>
      <c r="S48" s="7"/>
      <c r="T48" s="7"/>
      <c r="U48" s="17"/>
    </row>
    <row r="49" spans="1:21">
      <c r="A49" t="s">
        <v>43</v>
      </c>
      <c r="B49" s="10">
        <v>0</v>
      </c>
      <c r="C49" s="7">
        <v>0</v>
      </c>
      <c r="D49" s="7">
        <v>-210.93859405265903</v>
      </c>
      <c r="E49" s="7">
        <v>0</v>
      </c>
      <c r="F49" s="17">
        <f t="shared" si="1"/>
        <v>-210.93859405265903</v>
      </c>
      <c r="K49" s="10"/>
      <c r="L49" s="7"/>
      <c r="M49" s="7"/>
      <c r="N49" s="7"/>
      <c r="O49" s="7"/>
      <c r="P49" s="7"/>
      <c r="Q49" s="7"/>
      <c r="R49" s="7"/>
      <c r="S49" s="7"/>
      <c r="T49" s="7"/>
      <c r="U49" s="17"/>
    </row>
    <row r="50" spans="1:21">
      <c r="A50" t="s">
        <v>44</v>
      </c>
      <c r="B50" s="10">
        <v>0</v>
      </c>
      <c r="C50" s="7">
        <v>0</v>
      </c>
      <c r="D50" s="7">
        <v>-8290.6618177946075</v>
      </c>
      <c r="E50" s="7">
        <v>0</v>
      </c>
      <c r="F50" s="17">
        <f t="shared" si="1"/>
        <v>-8290.6618177946075</v>
      </c>
      <c r="K50" s="10">
        <v>0</v>
      </c>
      <c r="L50" s="7">
        <v>0</v>
      </c>
      <c r="M50" s="7"/>
      <c r="N50" s="7">
        <v>0</v>
      </c>
      <c r="O50" s="7">
        <v>0</v>
      </c>
      <c r="P50" s="7"/>
      <c r="Q50" s="7">
        <v>113018</v>
      </c>
      <c r="R50" s="7">
        <v>80000</v>
      </c>
      <c r="S50" s="7"/>
      <c r="T50" s="7">
        <v>0</v>
      </c>
      <c r="U50" s="17">
        <v>0</v>
      </c>
    </row>
    <row r="51" spans="1:21">
      <c r="A51" t="s">
        <v>45</v>
      </c>
      <c r="B51" s="10">
        <v>0</v>
      </c>
      <c r="C51" s="7">
        <v>0</v>
      </c>
      <c r="D51" s="7">
        <v>47576.20863423738</v>
      </c>
      <c r="E51" s="7">
        <v>0</v>
      </c>
      <c r="F51" s="17">
        <f t="shared" si="1"/>
        <v>47576.20863423738</v>
      </c>
      <c r="K51" s="10">
        <v>0</v>
      </c>
      <c r="L51" s="7">
        <v>0</v>
      </c>
      <c r="M51" s="7"/>
      <c r="N51" s="7">
        <v>0</v>
      </c>
      <c r="O51" s="7">
        <v>0</v>
      </c>
      <c r="P51" s="7"/>
      <c r="Q51" s="7">
        <v>150000</v>
      </c>
      <c r="R51" s="7">
        <v>0</v>
      </c>
      <c r="S51" s="7"/>
      <c r="T51" s="7">
        <v>0</v>
      </c>
      <c r="U51" s="17">
        <v>0</v>
      </c>
    </row>
    <row r="52" spans="1:21">
      <c r="A52" t="s">
        <v>46</v>
      </c>
      <c r="B52" s="10">
        <v>0</v>
      </c>
      <c r="C52" s="7">
        <v>0</v>
      </c>
      <c r="D52" s="7">
        <v>0</v>
      </c>
      <c r="E52" s="7">
        <v>0</v>
      </c>
      <c r="F52" s="17">
        <f t="shared" si="1"/>
        <v>0</v>
      </c>
      <c r="K52" s="10"/>
      <c r="L52" s="7"/>
      <c r="M52" s="7"/>
      <c r="N52" s="7"/>
      <c r="O52" s="7"/>
      <c r="P52" s="7"/>
      <c r="Q52" s="7"/>
      <c r="R52" s="7"/>
      <c r="S52" s="7"/>
      <c r="T52" s="7"/>
      <c r="U52" s="17"/>
    </row>
    <row r="53" spans="1:21">
      <c r="A53" t="s">
        <v>47</v>
      </c>
      <c r="B53" s="10">
        <v>0</v>
      </c>
      <c r="C53" s="7">
        <v>0</v>
      </c>
      <c r="D53" s="7">
        <v>0</v>
      </c>
      <c r="E53" s="7">
        <v>0</v>
      </c>
      <c r="F53" s="17">
        <f t="shared" si="1"/>
        <v>0</v>
      </c>
      <c r="K53" s="10"/>
      <c r="L53" s="7"/>
      <c r="M53" s="7"/>
      <c r="N53" s="7"/>
      <c r="O53" s="7"/>
      <c r="P53" s="7"/>
      <c r="Q53" s="7"/>
      <c r="R53" s="7"/>
      <c r="S53" s="7"/>
      <c r="T53" s="7"/>
      <c r="U53" s="17"/>
    </row>
    <row r="54" spans="1:21">
      <c r="A54" t="s">
        <v>48</v>
      </c>
      <c r="B54" s="10">
        <v>0</v>
      </c>
      <c r="C54" s="7">
        <v>0</v>
      </c>
      <c r="D54" s="7">
        <v>0</v>
      </c>
      <c r="E54" s="7">
        <v>0</v>
      </c>
      <c r="F54" s="17">
        <f t="shared" si="1"/>
        <v>0</v>
      </c>
      <c r="K54" s="10"/>
      <c r="L54" s="7"/>
      <c r="M54" s="7"/>
      <c r="N54" s="7"/>
      <c r="O54" s="7"/>
      <c r="P54" s="7"/>
      <c r="Q54" s="7"/>
      <c r="R54" s="7"/>
      <c r="S54" s="7"/>
      <c r="T54" s="7"/>
      <c r="U54" s="17"/>
    </row>
    <row r="55" spans="1:21">
      <c r="A55" t="s">
        <v>49</v>
      </c>
      <c r="B55" s="10">
        <v>0</v>
      </c>
      <c r="C55" s="7">
        <v>0</v>
      </c>
      <c r="D55" s="7">
        <v>0</v>
      </c>
      <c r="E55" s="7">
        <v>0</v>
      </c>
      <c r="F55" s="17">
        <f t="shared" si="1"/>
        <v>0</v>
      </c>
      <c r="K55" s="10"/>
      <c r="L55" s="7"/>
      <c r="M55" s="7"/>
      <c r="N55" s="7"/>
      <c r="O55" s="7"/>
      <c r="P55" s="7"/>
      <c r="Q55" s="7"/>
      <c r="R55" s="7"/>
      <c r="S55" s="7"/>
      <c r="T55" s="7"/>
      <c r="U55" s="17"/>
    </row>
    <row r="56" spans="1:21">
      <c r="A56" t="s">
        <v>50</v>
      </c>
      <c r="B56" s="10">
        <v>0</v>
      </c>
      <c r="C56" s="7">
        <v>0</v>
      </c>
      <c r="D56" s="7">
        <v>0</v>
      </c>
      <c r="E56" s="7">
        <v>0</v>
      </c>
      <c r="F56" s="17">
        <f t="shared" si="1"/>
        <v>0</v>
      </c>
      <c r="K56" s="10"/>
      <c r="L56" s="7"/>
      <c r="M56" s="7"/>
      <c r="N56" s="7"/>
      <c r="O56" s="7"/>
      <c r="P56" s="7"/>
      <c r="Q56" s="7"/>
      <c r="R56" s="7"/>
      <c r="S56" s="7"/>
      <c r="T56" s="7"/>
      <c r="U56" s="17"/>
    </row>
    <row r="57" spans="1:21">
      <c r="A57" t="s">
        <v>51</v>
      </c>
      <c r="B57" s="10">
        <v>0</v>
      </c>
      <c r="C57" s="7">
        <v>0</v>
      </c>
      <c r="D57" s="7">
        <v>-504.88893341925723</v>
      </c>
      <c r="E57" s="7">
        <v>0</v>
      </c>
      <c r="F57" s="17">
        <f t="shared" si="1"/>
        <v>-504.88893341925723</v>
      </c>
      <c r="K57" s="10"/>
      <c r="L57" s="7"/>
      <c r="M57" s="7"/>
      <c r="N57" s="7"/>
      <c r="O57" s="7"/>
      <c r="P57" s="7"/>
      <c r="Q57" s="7"/>
      <c r="R57" s="7"/>
      <c r="S57" s="7"/>
      <c r="T57" s="7"/>
      <c r="U57" s="17"/>
    </row>
    <row r="58" spans="1:21">
      <c r="A58" t="s">
        <v>52</v>
      </c>
      <c r="B58" s="10">
        <v>0</v>
      </c>
      <c r="C58" s="7">
        <v>0</v>
      </c>
      <c r="D58" s="7">
        <v>0</v>
      </c>
      <c r="E58" s="7">
        <v>0</v>
      </c>
      <c r="F58" s="17">
        <f t="shared" si="1"/>
        <v>0</v>
      </c>
      <c r="K58" s="10"/>
      <c r="L58" s="7"/>
      <c r="M58" s="7"/>
      <c r="N58" s="7"/>
      <c r="O58" s="7"/>
      <c r="P58" s="7"/>
      <c r="Q58" s="7"/>
      <c r="R58" s="7"/>
      <c r="S58" s="7"/>
      <c r="T58" s="7"/>
      <c r="U58" s="17"/>
    </row>
    <row r="59" spans="1:21">
      <c r="B59" s="10"/>
      <c r="C59" s="7"/>
      <c r="D59" s="7"/>
      <c r="E59" s="7"/>
      <c r="F59" s="17"/>
      <c r="K59" s="10"/>
      <c r="L59" s="7"/>
      <c r="M59" s="7"/>
      <c r="N59" s="7"/>
      <c r="O59" s="7"/>
      <c r="P59" s="7"/>
      <c r="Q59" s="7"/>
      <c r="R59" s="7"/>
      <c r="S59" s="7"/>
      <c r="T59" s="7"/>
      <c r="U59" s="17"/>
    </row>
    <row r="60" spans="1:21">
      <c r="A60" t="s">
        <v>59</v>
      </c>
      <c r="B60" s="10">
        <f>SUM(B6:B58)</f>
        <v>-711.51553736388996</v>
      </c>
      <c r="C60" s="7">
        <f>SUM(C6:C58)</f>
        <v>0</v>
      </c>
      <c r="D60" s="7">
        <f>SUM(D6:D58)</f>
        <v>-139901.53446263555</v>
      </c>
      <c r="E60" s="7">
        <f>SUM(E6:E58)</f>
        <v>0</v>
      </c>
      <c r="F60" s="17">
        <f>SUM(F6:F58)</f>
        <v>-140613.04999999944</v>
      </c>
      <c r="K60" s="10">
        <f>SUM(K6:K58)</f>
        <v>0</v>
      </c>
      <c r="L60" s="7">
        <f>SUM(L6:L58)</f>
        <v>0</v>
      </c>
      <c r="M60" s="7"/>
      <c r="N60" s="7">
        <f>SUM(N6:N58)</f>
        <v>0</v>
      </c>
      <c r="O60" s="7">
        <f>SUM(O6:O58)</f>
        <v>0</v>
      </c>
      <c r="P60" s="7"/>
      <c r="Q60" s="7">
        <f>SUM(Q6:Q58)</f>
        <v>1804218</v>
      </c>
      <c r="R60" s="7">
        <f>SUM(R6:R58)</f>
        <v>1145622</v>
      </c>
      <c r="S60" s="7"/>
      <c r="T60" s="7">
        <f>SUM(T6:T58)</f>
        <v>0</v>
      </c>
      <c r="U60" s="17">
        <f>SUM(U6:U58)</f>
        <v>0</v>
      </c>
    </row>
    <row r="61" spans="1:21" ht="8.1" customHeight="1">
      <c r="B61" s="8"/>
      <c r="C61" s="5"/>
      <c r="D61" s="5"/>
      <c r="E61" s="5"/>
      <c r="F61" s="15"/>
      <c r="K61" s="8"/>
      <c r="L61" s="5"/>
      <c r="M61" s="5"/>
      <c r="N61" s="5"/>
      <c r="O61" s="5"/>
      <c r="P61" s="5"/>
      <c r="Q61" s="5"/>
      <c r="R61" s="5"/>
      <c r="S61" s="5"/>
      <c r="T61" s="5"/>
      <c r="U61" s="15"/>
    </row>
    <row r="62" spans="1:21">
      <c r="B62" s="8"/>
      <c r="C62" s="5"/>
      <c r="D62" s="5"/>
      <c r="E62" s="5"/>
      <c r="F62" s="15"/>
      <c r="K62" s="131" t="s">
        <v>63</v>
      </c>
      <c r="L62" s="132"/>
      <c r="M62" s="132"/>
      <c r="N62" s="132"/>
      <c r="O62" s="132"/>
      <c r="P62" s="132"/>
      <c r="Q62" s="132"/>
      <c r="R62" s="132"/>
      <c r="S62" s="132"/>
      <c r="T62" s="132"/>
      <c r="U62" s="133"/>
    </row>
    <row r="63" spans="1:21">
      <c r="B63" s="8"/>
      <c r="C63" s="5"/>
      <c r="D63" s="5"/>
      <c r="E63" s="5"/>
      <c r="F63" s="15"/>
      <c r="K63" s="134"/>
      <c r="L63" s="132"/>
      <c r="M63" s="132"/>
      <c r="N63" s="132"/>
      <c r="O63" s="132"/>
      <c r="P63" s="132"/>
      <c r="Q63" s="132"/>
      <c r="R63" s="132"/>
      <c r="S63" s="132"/>
      <c r="T63" s="132"/>
      <c r="U63" s="133"/>
    </row>
    <row r="64" spans="1:21" ht="15.75" thickBot="1">
      <c r="B64" s="11"/>
      <c r="C64" s="12"/>
      <c r="D64" s="12"/>
      <c r="E64" s="12"/>
      <c r="F64" s="18"/>
      <c r="K64" s="135"/>
      <c r="L64" s="136"/>
      <c r="M64" s="136"/>
      <c r="N64" s="136"/>
      <c r="O64" s="136"/>
      <c r="P64" s="136"/>
      <c r="Q64" s="136"/>
      <c r="R64" s="136"/>
      <c r="S64" s="136"/>
      <c r="T64" s="136"/>
      <c r="U64" s="137"/>
    </row>
  </sheetData>
  <mergeCells count="8">
    <mergeCell ref="K62:U64"/>
    <mergeCell ref="A1:F1"/>
    <mergeCell ref="B3:F3"/>
    <mergeCell ref="K4:L4"/>
    <mergeCell ref="N4:O4"/>
    <mergeCell ref="Q4:R4"/>
    <mergeCell ref="T4:U4"/>
    <mergeCell ref="K3:U3"/>
  </mergeCells>
  <printOptions horizontalCentered="1" verticalCentered="1"/>
  <pageMargins left="0.25" right="0.25" top="0.75" bottom="0.75" header="0.4" footer="0.4"/>
  <pageSetup scale="51" orientation="landscape" r:id="rId1"/>
  <headerFooter>
    <oddHeader>&amp;L&amp;"Geneva,Bold"&amp;D 
&amp;F &amp;C&amp;"Geneva,Bold Italic"American Western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89</vt:i4>
      </vt:variant>
      <vt:variant>
        <vt:lpstr>Named Ranges</vt:lpstr>
      </vt:variant>
      <vt:variant>
        <vt:i4>90</vt:i4>
      </vt:variant>
    </vt:vector>
  </HeadingPairs>
  <TitlesOfParts>
    <vt:vector size="179" baseType="lpstr">
      <vt:lpstr>Alabama Life</vt:lpstr>
      <vt:lpstr>American Chambers</vt:lpstr>
      <vt:lpstr>American Community</vt:lpstr>
      <vt:lpstr>American Educators</vt:lpstr>
      <vt:lpstr>American Integrity</vt:lpstr>
      <vt:lpstr>Amer Life Asr</vt:lpstr>
      <vt:lpstr>American Network</vt:lpstr>
      <vt:lpstr>Amer Std Life Acc</vt:lpstr>
      <vt:lpstr>AmerWstrn</vt:lpstr>
      <vt:lpstr>AMS Life</vt:lpstr>
      <vt:lpstr>Andrew Jackson</vt:lpstr>
      <vt:lpstr>Bankers Commercial</vt:lpstr>
      <vt:lpstr>Benicorp</vt:lpstr>
      <vt:lpstr>Booker T Washington</vt:lpstr>
      <vt:lpstr>Centennial</vt:lpstr>
      <vt:lpstr>Coastal States</vt:lpstr>
      <vt:lpstr>Confed Life &amp; Annty (CLIAC)</vt:lpstr>
      <vt:lpstr>Confed Life (CLIC)</vt:lpstr>
      <vt:lpstr>Consolidated National</vt:lpstr>
      <vt:lpstr>Consumers United</vt:lpstr>
      <vt:lpstr>Corporate Life</vt:lpstr>
      <vt:lpstr>Diamond Benefits</vt:lpstr>
      <vt:lpstr>EBL Life</vt:lpstr>
      <vt:lpstr>Executive Life</vt:lpstr>
      <vt:lpstr>ELNY</vt:lpstr>
      <vt:lpstr>Family Guaranty</vt:lpstr>
      <vt:lpstr>Farmers &amp; Ranchers</vt:lpstr>
      <vt:lpstr>Fidelity Bankers</vt:lpstr>
      <vt:lpstr>Fidelity Mutual</vt:lpstr>
      <vt:lpstr>First Capital</vt:lpstr>
      <vt:lpstr>First Natl</vt:lpstr>
      <vt:lpstr>First Natl (Thrnr)</vt:lpstr>
      <vt:lpstr>Franklin American</vt:lpstr>
      <vt:lpstr>Franklin Protective</vt:lpstr>
      <vt:lpstr>George Washington</vt:lpstr>
      <vt:lpstr>Golden State</vt:lpstr>
      <vt:lpstr>Guarantee Security</vt:lpstr>
      <vt:lpstr>Imerica</vt:lpstr>
      <vt:lpstr>Inter-American</vt:lpstr>
      <vt:lpstr>International Fin</vt:lpstr>
      <vt:lpstr>Investment Life of America</vt:lpstr>
      <vt:lpstr>Investors Equity</vt:lpstr>
      <vt:lpstr>Kentucky Central</vt:lpstr>
      <vt:lpstr>Legion</vt:lpstr>
      <vt:lpstr>Life Health America</vt:lpstr>
      <vt:lpstr>Lincoln Memorial</vt:lpstr>
      <vt:lpstr>London Pac</vt:lpstr>
      <vt:lpstr>Lumbermens</vt:lpstr>
      <vt:lpstr>Medical Savings</vt:lpstr>
      <vt:lpstr>Memorial Service</vt:lpstr>
      <vt:lpstr>Midcontinent</vt:lpstr>
      <vt:lpstr>Midwest Life</vt:lpstr>
      <vt:lpstr>Monarch Life</vt:lpstr>
      <vt:lpstr>Mutual Benefit</vt:lpstr>
      <vt:lpstr>Mutual Security</vt:lpstr>
      <vt:lpstr>National Affiliated</vt:lpstr>
      <vt:lpstr>Natl American</vt:lpstr>
      <vt:lpstr>National Heritage</vt:lpstr>
      <vt:lpstr>National States</vt:lpstr>
      <vt:lpstr>New Jersey Life</vt:lpstr>
      <vt:lpstr>Old Colony Life</vt:lpstr>
      <vt:lpstr>Old Faithful</vt:lpstr>
      <vt:lpstr>Pacific Standard</vt:lpstr>
      <vt:lpstr>Pen  Treaty</vt:lpstr>
      <vt:lpstr>Reliance</vt:lpstr>
      <vt:lpstr>Settlers</vt:lpstr>
      <vt:lpstr>Shenandoah</vt:lpstr>
      <vt:lpstr>Standard Life IN</vt:lpstr>
      <vt:lpstr>States General</vt:lpstr>
      <vt:lpstr>Statesman</vt:lpstr>
      <vt:lpstr>Summit National</vt:lpstr>
      <vt:lpstr>Supreme</vt:lpstr>
      <vt:lpstr>Underwriters</vt:lpstr>
      <vt:lpstr>Unison</vt:lpstr>
      <vt:lpstr>United Republic</vt:lpstr>
      <vt:lpstr>Universal Health Care</vt:lpstr>
      <vt:lpstr>Universal Life</vt:lpstr>
      <vt:lpstr>Universe</vt:lpstr>
      <vt:lpstr>Villanova</vt:lpstr>
      <vt:lpstr>Summary</vt:lpstr>
      <vt:lpstr>Pre-Liquidation Summary</vt:lpstr>
      <vt:lpstr>Open Summary</vt:lpstr>
      <vt:lpstr>Closed Summary</vt:lpstr>
      <vt:lpstr>Estate Closed Summary</vt:lpstr>
      <vt:lpstr>Released from Oversight Summary</vt:lpstr>
      <vt:lpstr>Total Summary</vt:lpstr>
      <vt:lpstr>ELIC Antic Funding</vt:lpstr>
      <vt:lpstr>Recon ELIC Antic Funding to Sum</vt:lpstr>
      <vt:lpstr>Premium</vt:lpstr>
      <vt:lpstr>'Alabama Life'!Print_Area</vt:lpstr>
      <vt:lpstr>'Amer Life Asr'!Print_Area</vt:lpstr>
      <vt:lpstr>'Amer Std Life Acc'!Print_Area</vt:lpstr>
      <vt:lpstr>'American Chambers'!Print_Area</vt:lpstr>
      <vt:lpstr>'American Community'!Print_Area</vt:lpstr>
      <vt:lpstr>'American Educators'!Print_Area</vt:lpstr>
      <vt:lpstr>'American Integrity'!Print_Area</vt:lpstr>
      <vt:lpstr>'American Network'!Print_Area</vt:lpstr>
      <vt:lpstr>AmerWstrn!Print_Area</vt:lpstr>
      <vt:lpstr>'AMS Life'!Print_Area</vt:lpstr>
      <vt:lpstr>'Andrew Jackson'!Print_Area</vt:lpstr>
      <vt:lpstr>'Bankers Commercial'!Print_Area</vt:lpstr>
      <vt:lpstr>Benicorp!Print_Area</vt:lpstr>
      <vt:lpstr>'Booker T Washington'!Print_Area</vt:lpstr>
      <vt:lpstr>Centennial!Print_Area</vt:lpstr>
      <vt:lpstr>'Closed Summary'!Print_Area</vt:lpstr>
      <vt:lpstr>'Coastal States'!Print_Area</vt:lpstr>
      <vt:lpstr>'Confed Life &amp; Annty (CLIAC)'!Print_Area</vt:lpstr>
      <vt:lpstr>'Confed Life (CLIC)'!Print_Area</vt:lpstr>
      <vt:lpstr>'Consolidated National'!Print_Area</vt:lpstr>
      <vt:lpstr>'Consumers United'!Print_Area</vt:lpstr>
      <vt:lpstr>'Corporate Life'!Print_Area</vt:lpstr>
      <vt:lpstr>'Diamond Benefits'!Print_Area</vt:lpstr>
      <vt:lpstr>'EBL Life'!Print_Area</vt:lpstr>
      <vt:lpstr>'ELIC Antic Funding'!Print_Area</vt:lpstr>
      <vt:lpstr>ELNY!Print_Area</vt:lpstr>
      <vt:lpstr>'Estate Closed Summary'!Print_Area</vt:lpstr>
      <vt:lpstr>'Executive Life'!Print_Area</vt:lpstr>
      <vt:lpstr>'Family Guaranty'!Print_Area</vt:lpstr>
      <vt:lpstr>'Farmers &amp; Ranchers'!Print_Area</vt:lpstr>
      <vt:lpstr>'Fidelity Bankers'!Print_Area</vt:lpstr>
      <vt:lpstr>'Fidelity Mutual'!Print_Area</vt:lpstr>
      <vt:lpstr>'First Capital'!Print_Area</vt:lpstr>
      <vt:lpstr>'First Natl'!Print_Area</vt:lpstr>
      <vt:lpstr>'First Natl (Thrnr)'!Print_Area</vt:lpstr>
      <vt:lpstr>'Franklin American'!Print_Area</vt:lpstr>
      <vt:lpstr>'Franklin Protective'!Print_Area</vt:lpstr>
      <vt:lpstr>'George Washington'!Print_Area</vt:lpstr>
      <vt:lpstr>'Golden State'!Print_Area</vt:lpstr>
      <vt:lpstr>'Guarantee Security'!Print_Area</vt:lpstr>
      <vt:lpstr>Imerica!Print_Area</vt:lpstr>
      <vt:lpstr>'Inter-American'!Print_Area</vt:lpstr>
      <vt:lpstr>'International Fin'!Print_Area</vt:lpstr>
      <vt:lpstr>'Investment Life of America'!Print_Area</vt:lpstr>
      <vt:lpstr>'Investors Equity'!Print_Area</vt:lpstr>
      <vt:lpstr>'Kentucky Central'!Print_Area</vt:lpstr>
      <vt:lpstr>Legion!Print_Area</vt:lpstr>
      <vt:lpstr>'Life Health America'!Print_Area</vt:lpstr>
      <vt:lpstr>'Lincoln Memorial'!Print_Area</vt:lpstr>
      <vt:lpstr>'London Pac'!Print_Area</vt:lpstr>
      <vt:lpstr>Lumbermens!Print_Area</vt:lpstr>
      <vt:lpstr>'Medical Savings'!Print_Area</vt:lpstr>
      <vt:lpstr>'Memorial Service'!Print_Area</vt:lpstr>
      <vt:lpstr>Midcontinent!Print_Area</vt:lpstr>
      <vt:lpstr>'Midwest Life'!Print_Area</vt:lpstr>
      <vt:lpstr>'Monarch Life'!Print_Area</vt:lpstr>
      <vt:lpstr>'Mutual Benefit'!Print_Area</vt:lpstr>
      <vt:lpstr>'Mutual Security'!Print_Area</vt:lpstr>
      <vt:lpstr>'National Affiliated'!Print_Area</vt:lpstr>
      <vt:lpstr>'National Heritage'!Print_Area</vt:lpstr>
      <vt:lpstr>'National States'!Print_Area</vt:lpstr>
      <vt:lpstr>'Natl American'!Print_Area</vt:lpstr>
      <vt:lpstr>'New Jersey Life'!Print_Area</vt:lpstr>
      <vt:lpstr>'Old Colony Life'!Print_Area</vt:lpstr>
      <vt:lpstr>'Old Faithful'!Print_Area</vt:lpstr>
      <vt:lpstr>'Open Summary'!Print_Area</vt:lpstr>
      <vt:lpstr>'Pacific Standard'!Print_Area</vt:lpstr>
      <vt:lpstr>'Pen  Treaty'!Print_Area</vt:lpstr>
      <vt:lpstr>'Pre-Liquidation Summary'!Print_Area</vt:lpstr>
      <vt:lpstr>'Released from Oversight Summary'!Print_Area</vt:lpstr>
      <vt:lpstr>Reliance!Print_Area</vt:lpstr>
      <vt:lpstr>Settlers!Print_Area</vt:lpstr>
      <vt:lpstr>Shenandoah!Print_Area</vt:lpstr>
      <vt:lpstr>'Standard Life IN'!Print_Area</vt:lpstr>
      <vt:lpstr>'States General'!Print_Area</vt:lpstr>
      <vt:lpstr>Statesman!Print_Area</vt:lpstr>
      <vt:lpstr>Summary!Print_Area</vt:lpstr>
      <vt:lpstr>'Summit National'!Print_Area</vt:lpstr>
      <vt:lpstr>Supreme!Print_Area</vt:lpstr>
      <vt:lpstr>'Total Summary'!Print_Area</vt:lpstr>
      <vt:lpstr>Underwriters!Print_Area</vt:lpstr>
      <vt:lpstr>Unison!Print_Area</vt:lpstr>
      <vt:lpstr>'United Republic'!Print_Area</vt:lpstr>
      <vt:lpstr>'Universal Health Care'!Print_Area</vt:lpstr>
      <vt:lpstr>'Universal Life'!Print_Area</vt:lpstr>
      <vt:lpstr>Universe!Print_Area</vt:lpstr>
      <vt:lpstr>Villanova!Print_Area</vt:lpstr>
      <vt:lpstr>'ELIC Antic Funding'!Print_Titles</vt:lpstr>
      <vt:lpstr>Premium!Print_Titles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Dan Hicks</cp:lastModifiedBy>
  <cp:lastPrinted>2013-11-27T15:39:35Z</cp:lastPrinted>
  <dcterms:created xsi:type="dcterms:W3CDTF">2013-11-27T13:32:43Z</dcterms:created>
  <dcterms:modified xsi:type="dcterms:W3CDTF">2013-12-02T14:31:23Z</dcterms:modified>
</cp:coreProperties>
</file>